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292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27.xml" ContentType="application/vnd.openxmlformats-officedocument.spreadsheetml.revisionLog+xml"/>
  <Override PartName="/xl/revisions/revisionLog209.xml" ContentType="application/vnd.openxmlformats-officedocument.spreadsheetml.revisionLog+xml"/>
  <Override PartName="/xl/revisions/revisionLog69.xml" ContentType="application/vnd.openxmlformats-officedocument.spreadsheetml.revisionLog+xml"/>
  <Override PartName="/xl/revisions/revisionLog234.xml" ContentType="application/vnd.openxmlformats-officedocument.spreadsheetml.revisionLog+xml"/>
  <Override PartName="/xl/revisions/revisionLog276.xml" ContentType="application/vnd.openxmlformats-officedocument.spreadsheetml.revisionLog+xml"/>
  <Override PartName="/xl/revisions/revisionLog80.xml" ContentType="application/vnd.openxmlformats-officedocument.spreadsheetml.revisionLog+xml"/>
  <Override PartName="/xl/revisions/revisionLog136.xml" ContentType="application/vnd.openxmlformats-officedocument.spreadsheetml.revisionLog+xml"/>
  <Override PartName="/xl/revisions/revisionLog178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245.xml" ContentType="application/vnd.openxmlformats-officedocument.spreadsheetml.revisionLog+xml"/>
  <Override PartName="/xl/revisions/revisionLog287.xml" ContentType="application/vnd.openxmlformats-officedocument.spreadsheetml.revisionLog+xml"/>
  <Override PartName="/xl/revisions/revisionLog91.xml" ContentType="application/vnd.openxmlformats-officedocument.spreadsheetml.revisionLog+xml"/>
  <Override PartName="/xl/revisions/revisionLog147.xml" ContentType="application/vnd.openxmlformats-officedocument.spreadsheetml.revisionLog+xml"/>
  <Override PartName="/xl/revisions/revisionLog189.xml" ContentType="application/vnd.openxmlformats-officedocument.spreadsheetml.revisionLog+xml"/>
  <Override PartName="/xl/revisions/revisionLog49.xml" ContentType="application/vnd.openxmlformats-officedocument.spreadsheetml.revisionLog+xml"/>
  <Override PartName="/xl/revisions/revisionLog200.xml" ContentType="application/vnd.openxmlformats-officedocument.spreadsheetml.revisionLog+xml"/>
  <Override PartName="/xl/revisions/revisionLog214.xml" ContentType="application/vnd.openxmlformats-officedocument.spreadsheetml.revisionLog+xml"/>
  <Override PartName="/xl/revisions/revisionLog256.xml" ContentType="application/vnd.openxmlformats-officedocument.spreadsheetml.revisionLog+xml"/>
  <Override PartName="/xl/revisions/revisionLog60.xml" ContentType="application/vnd.openxmlformats-officedocument.spreadsheetml.revisionLog+xml"/>
  <Override PartName="/xl/revisions/revisionLog102.xml" ContentType="application/vnd.openxmlformats-officedocument.spreadsheetml.revisionLog+xml"/>
  <Override PartName="/xl/revisions/revisionLog116.xml" ContentType="application/vnd.openxmlformats-officedocument.spreadsheetml.revisionLog+xml"/>
  <Override PartName="/xl/revisions/revisionLog158.xml" ContentType="application/vnd.openxmlformats-officedocument.spreadsheetml.revisionLog+xml"/>
  <Override PartName="/xl/revisions/revisionLog179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190.xml" ContentType="application/vnd.openxmlformats-officedocument.spreadsheetml.revisionLog+xml"/>
  <Override PartName="/xl/revisions/revisionLog225.xml" ContentType="application/vnd.openxmlformats-officedocument.spreadsheetml.revisionLog+xml"/>
  <Override PartName="/xl/revisions/revisionLog246.xml" ContentType="application/vnd.openxmlformats-officedocument.spreadsheetml.revisionLog+xml"/>
  <Override PartName="/xl/revisions/revisionLog267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71.xml" ContentType="application/vnd.openxmlformats-officedocument.spreadsheetml.revisionLog+xml"/>
  <Override PartName="/xl/revisions/revisionLog92.xml" ContentType="application/vnd.openxmlformats-officedocument.spreadsheetml.revisionLog+xml"/>
  <Override PartName="/xl/revisions/revisionLog127.xml" ContentType="application/vnd.openxmlformats-officedocument.spreadsheetml.revisionLog+xml"/>
  <Override PartName="/xl/revisions/revisionLog288.xml" ContentType="application/vnd.openxmlformats-officedocument.spreadsheetml.revisionLog+xml"/>
  <Override PartName="/xl/revisions/revisionLog148.xml" ContentType="application/vnd.openxmlformats-officedocument.spreadsheetml.revisionLog+xml"/>
  <Override PartName="/xl/revisions/revisionLog169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180.xml" ContentType="application/vnd.openxmlformats-officedocument.spreadsheetml.revisionLog+xml"/>
  <Override PartName="/xl/revisions/revisionLog201.xml" ContentType="application/vnd.openxmlformats-officedocument.spreadsheetml.revisionLog+xml"/>
  <Override PartName="/xl/revisions/revisionLog215.xml" ContentType="application/vnd.openxmlformats-officedocument.spreadsheetml.revisionLog+xml"/>
  <Override PartName="/xl/revisions/revisionLog236.xml" ContentType="application/vnd.openxmlformats-officedocument.spreadsheetml.revisionLog+xml"/>
  <Override PartName="/xl/revisions/revisionLog257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61.xml" ContentType="application/vnd.openxmlformats-officedocument.spreadsheetml.revisionLog+xml"/>
  <Override PartName="/xl/revisions/revisionLog278.xml" ContentType="application/vnd.openxmlformats-officedocument.spreadsheetml.revisionLog+xml"/>
  <Override PartName="/xl/revisions/revisionLog82.xml" ContentType="application/vnd.openxmlformats-officedocument.spreadsheetml.revisionLog+xml"/>
  <Override PartName="/xl/revisions/revisionLog103.xml" ContentType="application/vnd.openxmlformats-officedocument.spreadsheetml.revisionLog+xml"/>
  <Override PartName="/xl/revisions/revisionLog117.xml" ContentType="application/vnd.openxmlformats-officedocument.spreadsheetml.revisionLog+xml"/>
  <Override PartName="/xl/revisions/revisionLog138.xml" ContentType="application/vnd.openxmlformats-officedocument.spreadsheetml.revisionLog+xml"/>
  <Override PartName="/xl/revisions/revisionLog159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170.xml" ContentType="application/vnd.openxmlformats-officedocument.spreadsheetml.revisionLog+xml"/>
  <Override PartName="/xl/revisions/revisionLog191.xml" ContentType="application/vnd.openxmlformats-officedocument.spreadsheetml.revisionLog+xml"/>
  <Override PartName="/xl/revisions/revisionLog226.xml" ContentType="application/vnd.openxmlformats-officedocument.spreadsheetml.revisionLog+xml"/>
  <Override PartName="/xl/revisions/revisionLog247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51.xml" ContentType="application/vnd.openxmlformats-officedocument.spreadsheetml.revisionLog+xml"/>
  <Override PartName="/xl/revisions/revisionLog268.xml" ContentType="application/vnd.openxmlformats-officedocument.spreadsheetml.revisionLog+xml"/>
  <Override PartName="/xl/revisions/revisionLog289.xml" ContentType="application/vnd.openxmlformats-officedocument.spreadsheetml.revisionLog+xml"/>
  <Override PartName="/xl/revisions/revisionLog72.xml" ContentType="application/vnd.openxmlformats-officedocument.spreadsheetml.revisionLog+xml"/>
  <Override PartName="/xl/revisions/revisionLog93.xml" ContentType="application/vnd.openxmlformats-officedocument.spreadsheetml.revisionLog+xml"/>
  <Override PartName="/xl/revisions/revisionLog128.xml" ContentType="application/vnd.openxmlformats-officedocument.spreadsheetml.revisionLog+xml"/>
  <Override PartName="/xl/revisions/revisionLog149.xml" ContentType="application/vnd.openxmlformats-officedocument.spreadsheetml.revisionLog+xml"/>
  <Override PartName="/xl/revisions/revisionLog160.xml" ContentType="application/vnd.openxmlformats-officedocument.spreadsheetml.revisionLog+xml"/>
  <Override PartName="/xl/revisions/revisionLog181.xml" ContentType="application/vnd.openxmlformats-officedocument.spreadsheetml.revisionLog+xml"/>
  <Override PartName="/xl/revisions/revisionLog202.xml" ContentType="application/vnd.openxmlformats-officedocument.spreadsheetml.revisionLog+xml"/>
  <Override PartName="/xl/revisions/revisionLog216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237.xml" ContentType="application/vnd.openxmlformats-officedocument.spreadsheetml.revisionLog+xml"/>
  <Override PartName="/xl/revisions/revisionLog258.xml" ContentType="application/vnd.openxmlformats-officedocument.spreadsheetml.revisionLog+xml"/>
  <Override PartName="/xl/revisions/revisionLog279.xml" ContentType="application/vnd.openxmlformats-officedocument.spreadsheetml.revisionLog+xml"/>
  <Override PartName="/xl/revisions/revisionLog62.xml" ContentType="application/vnd.openxmlformats-officedocument.spreadsheetml.revisionLog+xml"/>
  <Override PartName="/xl/revisions/revisionLog83.xml" ContentType="application/vnd.openxmlformats-officedocument.spreadsheetml.revisionLog+xml"/>
  <Override PartName="/xl/revisions/revisionLog104.xml" ContentType="application/vnd.openxmlformats-officedocument.spreadsheetml.revisionLog+xml"/>
  <Override PartName="/xl/revisions/revisionLog118.xml" ContentType="application/vnd.openxmlformats-officedocument.spreadsheetml.revisionLog+xml"/>
  <Override PartName="/xl/revisions/revisionLog139.xml" ContentType="application/vnd.openxmlformats-officedocument.spreadsheetml.revisionLog+xml"/>
  <Override PartName="/xl/revisions/revisionLog290.xml" ContentType="application/vnd.openxmlformats-officedocument.spreadsheetml.revisionLog+xml"/>
  <Override PartName="/xl/revisions/revisionLog150.xml" ContentType="application/vnd.openxmlformats-officedocument.spreadsheetml.revisionLog+xml"/>
  <Override PartName="/xl/revisions/revisionLog171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92.xml" ContentType="application/vnd.openxmlformats-officedocument.spreadsheetml.revisionLog+xml"/>
  <Override PartName="/xl/revisions/revisionLog227.xml" ContentType="application/vnd.openxmlformats-officedocument.spreadsheetml.revisionLog+xml"/>
  <Override PartName="/xl/revisions/revisionLog248.xml" ContentType="application/vnd.openxmlformats-officedocument.spreadsheetml.revisionLog+xml"/>
  <Override PartName="/xl/revisions/revisionLog269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52.xml" ContentType="application/vnd.openxmlformats-officedocument.spreadsheetml.revisionLog+xml"/>
  <Override PartName="/xl/revisions/revisionLog73.xml" ContentType="application/vnd.openxmlformats-officedocument.spreadsheetml.revisionLog+xml"/>
  <Override PartName="/xl/revisions/revisionLog94.xml" ContentType="application/vnd.openxmlformats-officedocument.spreadsheetml.revisionLog+xml"/>
  <Override PartName="/xl/revisions/revisionLog129.xml" ContentType="application/vnd.openxmlformats-officedocument.spreadsheetml.revisionLog+xml"/>
  <Override PartName="/xl/revisions/revisionLog280.xml" ContentType="application/vnd.openxmlformats-officedocument.spreadsheetml.revisionLog+xml"/>
  <Override PartName="/xl/revisions/revisionLog140.xml" ContentType="application/vnd.openxmlformats-officedocument.spreadsheetml.revisionLog+xml"/>
  <Override PartName="/xl/revisions/revisionLog161.xml" ContentType="application/vnd.openxmlformats-officedocument.spreadsheetml.revisionLog+xml"/>
  <Override PartName="/xl/revisions/revisionLog182.xml" ContentType="application/vnd.openxmlformats-officedocument.spreadsheetml.revisionLog+xml"/>
  <Override PartName="/xl/revisions/revisionLog203.xml" ContentType="application/vnd.openxmlformats-officedocument.spreadsheetml.revisionLog+xml"/>
  <Override PartName="/xl/revisions/revisionLog217.xml" ContentType="application/vnd.openxmlformats-officedocument.spreadsheetml.revisionLog+xml"/>
  <Override PartName="/xl/revisions/revisionLog238.xml" ContentType="application/vnd.openxmlformats-officedocument.spreadsheetml.revisionLog+xml"/>
  <Override PartName="/xl/revisions/revisionLog259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63.xml" ContentType="application/vnd.openxmlformats-officedocument.spreadsheetml.revisionLog+xml"/>
  <Override PartName="/xl/revisions/revisionLog84.xml" ContentType="application/vnd.openxmlformats-officedocument.spreadsheetml.revisionLog+xml"/>
  <Override PartName="/xl/revisions/revisionLog105.xml" ContentType="application/vnd.openxmlformats-officedocument.spreadsheetml.revisionLog+xml"/>
  <Override PartName="/xl/revisions/revisionLog119.xml" ContentType="application/vnd.openxmlformats-officedocument.spreadsheetml.revisionLog+xml"/>
  <Override PartName="/xl/revisions/revisionLog270.xml" ContentType="application/vnd.openxmlformats-officedocument.spreadsheetml.revisionLog+xml"/>
  <Override PartName="/xl/revisions/revisionLog291.xml" ContentType="application/vnd.openxmlformats-officedocument.spreadsheetml.revisionLog+xml"/>
  <Override PartName="/xl/revisions/revisionLog130.xml" ContentType="application/vnd.openxmlformats-officedocument.spreadsheetml.revisionLog+xml"/>
  <Override PartName="/xl/revisions/revisionLog151.xml" ContentType="application/vnd.openxmlformats-officedocument.spreadsheetml.revisionLog+xml"/>
  <Override PartName="/xl/revisions/revisionLog172.xml" ContentType="application/vnd.openxmlformats-officedocument.spreadsheetml.revisionLog+xml"/>
  <Override PartName="/xl/revisions/revisionLog193.xml" ContentType="application/vnd.openxmlformats-officedocument.spreadsheetml.revisionLog+xml"/>
  <Override PartName="/xl/revisions/revisionLog228.xml" ContentType="application/vnd.openxmlformats-officedocument.spreadsheetml.revisionLog+xml"/>
  <Override PartName="/xl/revisions/revisionLog249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53.xml" ContentType="application/vnd.openxmlformats-officedocument.spreadsheetml.revisionLog+xml"/>
  <Override PartName="/xl/revisions/revisionLog74.xml" ContentType="application/vnd.openxmlformats-officedocument.spreadsheetml.revisionLog+xml"/>
  <Override PartName="/xl/revisions/revisionLog95.xml" ContentType="application/vnd.openxmlformats-officedocument.spreadsheetml.revisionLog+xml"/>
  <Override PartName="/xl/revisions/revisionLog260.xml" ContentType="application/vnd.openxmlformats-officedocument.spreadsheetml.revisionLog+xml"/>
  <Override PartName="/xl/revisions/revisionLog281.xml" ContentType="application/vnd.openxmlformats-officedocument.spreadsheetml.revisionLog+xml"/>
  <Override PartName="/xl/revisions/revisionLog120.xml" ContentType="application/vnd.openxmlformats-officedocument.spreadsheetml.revisionLog+xml"/>
  <Override PartName="/xl/revisions/revisionLog141.xml" ContentType="application/vnd.openxmlformats-officedocument.spreadsheetml.revisionLog+xml"/>
  <Override PartName="/xl/revisions/revisionLog162.xml" ContentType="application/vnd.openxmlformats-officedocument.spreadsheetml.revisionLog+xml"/>
  <Override PartName="/xl/revisions/revisionLog183.xml" ContentType="application/vnd.openxmlformats-officedocument.spreadsheetml.revisionLog+xml"/>
  <Override PartName="/xl/revisions/revisionLog204.xml" ContentType="application/vnd.openxmlformats-officedocument.spreadsheetml.revisionLog+xml"/>
  <Override PartName="/xl/revisions/revisionLog218.xml" ContentType="application/vnd.openxmlformats-officedocument.spreadsheetml.revisionLog+xml"/>
  <Override PartName="/xl/revisions/revisionLog239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64.xml" ContentType="application/vnd.openxmlformats-officedocument.spreadsheetml.revisionLog+xml"/>
  <Override PartName="/xl/revisions/revisionLog85.xml" ContentType="application/vnd.openxmlformats-officedocument.spreadsheetml.revisionLog+xml"/>
  <Override PartName="/xl/revisions/revisionLog250.xml" ContentType="application/vnd.openxmlformats-officedocument.spreadsheetml.revisionLog+xml"/>
  <Override PartName="/xl/revisions/revisionLog271.xml" ContentType="application/vnd.openxmlformats-officedocument.spreadsheetml.revisionLog+xml"/>
  <Override PartName="/xl/revisions/revisionLog106.xml" ContentType="application/vnd.openxmlformats-officedocument.spreadsheetml.revisionLog+xml"/>
  <Override PartName="/xl/revisions/revisionLog110.xml" ContentType="application/vnd.openxmlformats-officedocument.spreadsheetml.revisionLog+xml"/>
  <Override PartName="/xl/revisions/revisionLog131.xml" ContentType="application/vnd.openxmlformats-officedocument.spreadsheetml.revisionLog+xml"/>
  <Override PartName="/xl/revisions/revisionLog152.xml" ContentType="application/vnd.openxmlformats-officedocument.spreadsheetml.revisionLog+xml"/>
  <Override PartName="/xl/revisions/revisionLog173.xml" ContentType="application/vnd.openxmlformats-officedocument.spreadsheetml.revisionLog+xml"/>
  <Override PartName="/xl/revisions/revisionLog194.xml" ContentType="application/vnd.openxmlformats-officedocument.spreadsheetml.revisionLog+xml"/>
  <Override PartName="/xl/revisions/revisionLog229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54.xml" ContentType="application/vnd.openxmlformats-officedocument.spreadsheetml.revisionLog+xml"/>
  <Override PartName="/xl/revisions/revisionLog240.xml" ContentType="application/vnd.openxmlformats-officedocument.spreadsheetml.revisionLog+xml"/>
  <Override PartName="/xl/revisions/revisionLog75.xml" ContentType="application/vnd.openxmlformats-officedocument.spreadsheetml.revisionLog+xml"/>
  <Override PartName="/xl/revisions/revisionLog96.xml" ContentType="application/vnd.openxmlformats-officedocument.spreadsheetml.revisionLog+xml"/>
  <Override PartName="/xl/revisions/revisionLog261.xml" ContentType="application/vnd.openxmlformats-officedocument.spreadsheetml.revisionLog+xml"/>
  <Override PartName="/xl/revisions/revisionLog282.xml" ContentType="application/vnd.openxmlformats-officedocument.spreadsheetml.revisionLog+xml"/>
  <Override PartName="/xl/revisions/revisionLog121.xml" ContentType="application/vnd.openxmlformats-officedocument.spreadsheetml.revisionLog+xml"/>
  <Override PartName="/xl/revisions/revisionLog142.xml" ContentType="application/vnd.openxmlformats-officedocument.spreadsheetml.revisionLog+xml"/>
  <Override PartName="/xl/revisions/revisionLog163.xml" ContentType="application/vnd.openxmlformats-officedocument.spreadsheetml.revisionLog+xml"/>
  <Override PartName="/xl/revisions/revisionLog184.xml" ContentType="application/vnd.openxmlformats-officedocument.spreadsheetml.revisionLog+xml"/>
  <Override PartName="/xl/revisions/revisionLog205.xml" ContentType="application/vnd.openxmlformats-officedocument.spreadsheetml.revisionLog+xml"/>
  <Override PartName="/xl/revisions/revisionLog219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230.xml" ContentType="application/vnd.openxmlformats-officedocument.spreadsheetml.revisionLog+xml"/>
  <Override PartName="/xl/revisions/revisionLog65.xml" ContentType="application/vnd.openxmlformats-officedocument.spreadsheetml.revisionLog+xml"/>
  <Override PartName="/xl/revisions/revisionLog86.xml" ContentType="application/vnd.openxmlformats-officedocument.spreadsheetml.revisionLog+xml"/>
  <Override PartName="/xl/revisions/revisionLog107.xml" ContentType="application/vnd.openxmlformats-officedocument.spreadsheetml.revisionLog+xml"/>
  <Override PartName="/xl/revisions/revisionLog251.xml" ContentType="application/vnd.openxmlformats-officedocument.spreadsheetml.revisionLog+xml"/>
  <Override PartName="/xl/revisions/revisionLog272.xml" ContentType="application/vnd.openxmlformats-officedocument.spreadsheetml.revisionLog+xml"/>
  <Override PartName="/xl/revisions/revisionLog111.xml" ContentType="application/vnd.openxmlformats-officedocument.spreadsheetml.revisionLog+xml"/>
  <Override PartName="/xl/revisions/revisionLog132.xml" ContentType="application/vnd.openxmlformats-officedocument.spreadsheetml.revisionLog+xml"/>
  <Override PartName="/xl/revisions/revisionLog153.xml" ContentType="application/vnd.openxmlformats-officedocument.spreadsheetml.revisionLog+xml"/>
  <Override PartName="/xl/revisions/revisionLog174.xml" ContentType="application/vnd.openxmlformats-officedocument.spreadsheetml.revisionLog+xml"/>
  <Override PartName="/xl/revisions/revisionLog195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220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55.xml" ContentType="application/vnd.openxmlformats-officedocument.spreadsheetml.revisionLog+xml"/>
  <Override PartName="/xl/revisions/revisionLog76.xml" ContentType="application/vnd.openxmlformats-officedocument.spreadsheetml.revisionLog+xml"/>
  <Override PartName="/xl/revisions/revisionLog97.xml" ContentType="application/vnd.openxmlformats-officedocument.spreadsheetml.revisionLog+xml"/>
  <Override PartName="/xl/revisions/revisionLog241.xml" ContentType="application/vnd.openxmlformats-officedocument.spreadsheetml.revisionLog+xml"/>
  <Override PartName="/xl/revisions/revisionLog262.xml" ContentType="application/vnd.openxmlformats-officedocument.spreadsheetml.revisionLog+xml"/>
  <Override PartName="/xl/revisions/revisionLog283.xml" ContentType="application/vnd.openxmlformats-officedocument.spreadsheetml.revisionLog+xml"/>
  <Override PartName="/xl/revisions/revisionLog122.xml" ContentType="application/vnd.openxmlformats-officedocument.spreadsheetml.revisionLog+xml"/>
  <Override PartName="/xl/revisions/revisionLog143.xml" ContentType="application/vnd.openxmlformats-officedocument.spreadsheetml.revisionLog+xml"/>
  <Override PartName="/xl/revisions/revisionLog164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185.xml" ContentType="application/vnd.openxmlformats-officedocument.spreadsheetml.revisionLog+xml"/>
  <Override PartName="/xl/revisions/revisionLog206.xml" ContentType="application/vnd.openxmlformats-officedocument.spreadsheetml.revisionLog+xml"/>
  <Override PartName="/xl/revisions/revisionLog210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66.xml" ContentType="application/vnd.openxmlformats-officedocument.spreadsheetml.revisionLog+xml"/>
  <Override PartName="/xl/revisions/revisionLog87.xml" ContentType="application/vnd.openxmlformats-officedocument.spreadsheetml.revisionLog+xml"/>
  <Override PartName="/xl/revisions/revisionLog108.xml" ContentType="application/vnd.openxmlformats-officedocument.spreadsheetml.revisionLog+xml"/>
  <Override PartName="/xl/revisions/revisionLog231.xml" ContentType="application/vnd.openxmlformats-officedocument.spreadsheetml.revisionLog+xml"/>
  <Override PartName="/xl/revisions/revisionLog252.xml" ContentType="application/vnd.openxmlformats-officedocument.spreadsheetml.revisionLog+xml"/>
  <Override PartName="/xl/revisions/revisionLog273.xml" ContentType="application/vnd.openxmlformats-officedocument.spreadsheetml.revisionLog+xml"/>
  <Override PartName="/xl/revisions/revisionLog112.xml" ContentType="application/vnd.openxmlformats-officedocument.spreadsheetml.revisionLog+xml"/>
  <Override PartName="/xl/revisions/revisionLog133.xml" ContentType="application/vnd.openxmlformats-officedocument.spreadsheetml.revisionLog+xml"/>
  <Override PartName="/xl/revisions/revisionLog154.xml" ContentType="application/vnd.openxmlformats-officedocument.spreadsheetml.revisionLog+xml"/>
  <Override PartName="/xl/revisions/revisionLog175.xml" ContentType="application/vnd.openxmlformats-officedocument.spreadsheetml.revisionLog+xml"/>
  <Override PartName="/xl/revisions/revisionLog196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56.xml" ContentType="application/vnd.openxmlformats-officedocument.spreadsheetml.revisionLog+xml"/>
  <Override PartName="/xl/revisions/revisionLog77.xml" ContentType="application/vnd.openxmlformats-officedocument.spreadsheetml.revisionLog+xml"/>
  <Override PartName="/xl/revisions/revisionLog98.xml" ContentType="application/vnd.openxmlformats-officedocument.spreadsheetml.revisionLog+xml"/>
  <Override PartName="/xl/revisions/revisionLog221.xml" ContentType="application/vnd.openxmlformats-officedocument.spreadsheetml.revisionLog+xml"/>
  <Override PartName="/xl/revisions/revisionLog242.xml" ContentType="application/vnd.openxmlformats-officedocument.spreadsheetml.revisionLog+xml"/>
  <Override PartName="/xl/revisions/revisionLog263.xml" ContentType="application/vnd.openxmlformats-officedocument.spreadsheetml.revisionLog+xml"/>
  <Override PartName="/xl/revisions/revisionLog284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23.xml" ContentType="application/vnd.openxmlformats-officedocument.spreadsheetml.revisionLog+xml"/>
  <Override PartName="/xl/revisions/revisionLog144.xml" ContentType="application/vnd.openxmlformats-officedocument.spreadsheetml.revisionLog+xml"/>
  <Override PartName="/xl/revisions/revisionLog165.xml" ContentType="application/vnd.openxmlformats-officedocument.spreadsheetml.revisionLog+xml"/>
  <Override PartName="/xl/revisions/revisionLog186.xml" ContentType="application/vnd.openxmlformats-officedocument.spreadsheetml.revisionLog+xml"/>
  <Override PartName="/xl/revisions/revisionLog207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67.xml" ContentType="application/vnd.openxmlformats-officedocument.spreadsheetml.revisionLog+xml"/>
  <Override PartName="/xl/revisions/revisionLog88.xml" ContentType="application/vnd.openxmlformats-officedocument.spreadsheetml.revisionLog+xml"/>
  <Override PartName="/xl/revisions/revisionLog211.xml" ContentType="application/vnd.openxmlformats-officedocument.spreadsheetml.revisionLog+xml"/>
  <Override PartName="/xl/revisions/revisionLog232.xml" ContentType="application/vnd.openxmlformats-officedocument.spreadsheetml.revisionLog+xml"/>
  <Override PartName="/xl/revisions/revisionLog253.xml" ContentType="application/vnd.openxmlformats-officedocument.spreadsheetml.revisionLog+xml"/>
  <Override PartName="/xl/revisions/revisionLog274.xml" ContentType="application/vnd.openxmlformats-officedocument.spreadsheetml.revisionLog+xml"/>
  <Override PartName="/xl/revisions/revisionLog109.xml" ContentType="application/vnd.openxmlformats-officedocument.spreadsheetml.revisionLog+xml"/>
  <Override PartName="/xl/revisions/revisionLog113.xml" ContentType="application/vnd.openxmlformats-officedocument.spreadsheetml.revisionLog+xml"/>
  <Override PartName="/xl/revisions/revisionLog134.xml" ContentType="application/vnd.openxmlformats-officedocument.spreadsheetml.revisionLog+xml"/>
  <Override PartName="/xl/revisions/revisionLog155.xml" ContentType="application/vnd.openxmlformats-officedocument.spreadsheetml.revisionLog+xml"/>
  <Override PartName="/xl/revisions/revisionLog176.xml" ContentType="application/vnd.openxmlformats-officedocument.spreadsheetml.revisionLog+xml"/>
  <Override PartName="/xl/revisions/revisionLog197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57.xml" ContentType="application/vnd.openxmlformats-officedocument.spreadsheetml.revisionLog+xml"/>
  <Override PartName="/xl/revisions/revisionLog78.xml" ContentType="application/vnd.openxmlformats-officedocument.spreadsheetml.revisionLog+xml"/>
  <Override PartName="/xl/revisions/revisionLog222.xml" ContentType="application/vnd.openxmlformats-officedocument.spreadsheetml.revisionLog+xml"/>
  <Override PartName="/xl/revisions/revisionLog243.xml" ContentType="application/vnd.openxmlformats-officedocument.spreadsheetml.revisionLog+xml"/>
  <Override PartName="/xl/revisions/revisionLog264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99.xml" ContentType="application/vnd.openxmlformats-officedocument.spreadsheetml.revisionLog+xml"/>
  <Override PartName="/xl/revisions/revisionLog285.xml" ContentType="application/vnd.openxmlformats-officedocument.spreadsheetml.revisionLog+xml"/>
  <Override PartName="/xl/revisions/revisionLog124.xml" ContentType="application/vnd.openxmlformats-officedocument.spreadsheetml.revisionLog+xml"/>
  <Override PartName="/xl/revisions/revisionLog145.xml" ContentType="application/vnd.openxmlformats-officedocument.spreadsheetml.revisionLog+xml"/>
  <Override PartName="/xl/revisions/revisionLog166.xml" ContentType="application/vnd.openxmlformats-officedocument.spreadsheetml.revisionLog+xml"/>
  <Override PartName="/xl/revisions/revisionLog187.xml" ContentType="application/vnd.openxmlformats-officedocument.spreadsheetml.revisionLog+xml"/>
  <Override PartName="/xl/revisions/revisionLog208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68.xml" ContentType="application/vnd.openxmlformats-officedocument.spreadsheetml.revisionLog+xml"/>
  <Override PartName="/xl/revisions/revisionLog212.xml" ContentType="application/vnd.openxmlformats-officedocument.spreadsheetml.revisionLog+xml"/>
  <Override PartName="/xl/revisions/revisionLog233.xml" ContentType="application/vnd.openxmlformats-officedocument.spreadsheetml.revisionLog+xml"/>
  <Override PartName="/xl/revisions/revisionLog254.xml" ContentType="application/vnd.openxmlformats-officedocument.spreadsheetml.revisionLog+xml"/>
  <Override PartName="/xl/revisions/revisionLog89.xml" ContentType="application/vnd.openxmlformats-officedocument.spreadsheetml.revisionLog+xml"/>
  <Override PartName="/xl/revisions/revisionLog275.xml" ContentType="application/vnd.openxmlformats-officedocument.spreadsheetml.revisionLog+xml"/>
  <Override PartName="/xl/revisions/revisionLog100.xml" ContentType="application/vnd.openxmlformats-officedocument.spreadsheetml.revisionLog+xml"/>
  <Override PartName="/xl/revisions/revisionLog114.xml" ContentType="application/vnd.openxmlformats-officedocument.spreadsheetml.revisionLog+xml"/>
  <Override PartName="/xl/revisions/revisionLog135.xml" ContentType="application/vnd.openxmlformats-officedocument.spreadsheetml.revisionLog+xml"/>
  <Override PartName="/xl/revisions/revisionLog156.xml" ContentType="application/vnd.openxmlformats-officedocument.spreadsheetml.revisionLog+xml"/>
  <Override PartName="/xl/revisions/revisionLog177.xml" ContentType="application/vnd.openxmlformats-officedocument.spreadsheetml.revisionLog+xml"/>
  <Override PartName="/xl/revisions/revisionLog198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22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58.xml" ContentType="application/vnd.openxmlformats-officedocument.spreadsheetml.revisionLog+xml"/>
  <Override PartName="/xl/revisions/revisionLog79.xml" ContentType="application/vnd.openxmlformats-officedocument.spreadsheetml.revisionLog+xml"/>
  <Override PartName="/xl/revisions/revisionLog244.xml" ContentType="application/vnd.openxmlformats-officedocument.spreadsheetml.revisionLog+xml"/>
  <Override PartName="/xl/revisions/revisionLog265.xml" ContentType="application/vnd.openxmlformats-officedocument.spreadsheetml.revisionLog+xml"/>
  <Override PartName="/xl/revisions/revisionLog286.xml" ContentType="application/vnd.openxmlformats-officedocument.spreadsheetml.revisionLog+xml"/>
  <Override PartName="/xl/revisions/revisionLog90.xml" ContentType="application/vnd.openxmlformats-officedocument.spreadsheetml.revisionLog+xml"/>
  <Override PartName="/xl/revisions/revisionLog125.xml" ContentType="application/vnd.openxmlformats-officedocument.spreadsheetml.revisionLog+xml"/>
  <Override PartName="/xl/revisions/revisionLog146.xml" ContentType="application/vnd.openxmlformats-officedocument.spreadsheetml.revisionLog+xml"/>
  <Override PartName="/xl/revisions/revisionLog167.xml" ContentType="application/vnd.openxmlformats-officedocument.spreadsheetml.revisionLog+xml"/>
  <Override PartName="/xl/revisions/revisionLog188.xml" ContentType="application/vnd.openxmlformats-officedocument.spreadsheetml.revisionLog+xml"/>
  <Override PartName="/xl/revisions/revisionLog213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255.xml" ContentType="application/vnd.openxmlformats-officedocument.spreadsheetml.revisionLog+xml"/>
  <Override PartName="/xl/revisions/revisionLog101.xml" ContentType="application/vnd.openxmlformats-officedocument.spreadsheetml.revisionLog+xml"/>
  <Override PartName="/xl/revisions/revisionLog115.xml" ContentType="application/vnd.openxmlformats-officedocument.spreadsheetml.revisionLog+xml"/>
  <Override PartName="/xl/revisions/revisionLog157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199.xml" ContentType="application/vnd.openxmlformats-officedocument.spreadsheetml.revisionLog+xml"/>
  <Override PartName="/xl/revisions/revisionLog59.xml" ContentType="application/vnd.openxmlformats-officedocument.spreadsheetml.revisionLog+xml"/>
  <Override PartName="/xl/revisions/revisionLog224.xml" ContentType="application/vnd.openxmlformats-officedocument.spreadsheetml.revisionLog+xml"/>
  <Override PartName="/xl/revisions/revisionLog266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70.xml" ContentType="application/vnd.openxmlformats-officedocument.spreadsheetml.revisionLog+xml"/>
  <Override PartName="/xl/revisions/revisionLog126.xml" ContentType="application/vnd.openxmlformats-officedocument.spreadsheetml.revisionLog+xml"/>
  <Override PartName="/xl/revisions/revisionLog168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235.xml" ContentType="application/vnd.openxmlformats-officedocument.spreadsheetml.revisionLog+xml"/>
  <Override PartName="/xl/revisions/revisionLog277.xml" ContentType="application/vnd.openxmlformats-officedocument.spreadsheetml.revisionLog+xml"/>
  <Override PartName="/xl/revisions/revisionLog81.xml" ContentType="application/vnd.openxmlformats-officedocument.spreadsheetml.revisionLog+xml"/>
  <Override PartName="/xl/revisions/revisionLog137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greatertzaneen-my.sharepoint.com/personal/siyakudumisa_tzaneen_gov_za/Documents/Documents/GTM Data/Budget and Reporting/2024.2025/2025 2026 Final Budget/"/>
    </mc:Choice>
  </mc:AlternateContent>
  <xr:revisionPtr revIDLastSave="0" documentId="8_{5D741279-9F8E-4469-9027-1547E7D52BA9}" xr6:coauthVersionLast="47" xr6:coauthVersionMax="47" xr10:uidLastSave="{00000000-0000-0000-0000-000000000000}"/>
  <workbookProtection lockRevision="1"/>
  <bookViews>
    <workbookView xWindow="-108" yWindow="-108" windowWidth="23256" windowHeight="12456" tabRatio="826" activeTab="5" xr2:uid="{00000000-000D-0000-FFFF-FFFF00000000}"/>
  </bookViews>
  <sheets>
    <sheet name="mayor" sheetId="1" r:id="rId1"/>
    <sheet name="income" sheetId="2" r:id="rId2"/>
    <sheet name="workshop" sheetId="3" r:id="rId3"/>
    <sheet name="COMMUNITY SERV" sheetId="4" r:id="rId4"/>
    <sheet name="EEM" sheetId="5" r:id="rId5"/>
    <sheet name="CEM" sheetId="6" r:id="rId6"/>
    <sheet name="MDC" sheetId="7" r:id="rId7"/>
    <sheet name="BUDGET" sheetId="8" r:id="rId8"/>
    <sheet name="CALC" sheetId="9" r:id="rId9"/>
    <sheet name="orig" sheetId="10" r:id="rId10"/>
    <sheet name="1-10" sheetId="11" r:id="rId11"/>
    <sheet name="new veh 2012" sheetId="12" r:id="rId12"/>
    <sheet name="Sheet1" sheetId="13" r:id="rId13"/>
    <sheet name="stbk" sheetId="14" r:id="rId14"/>
    <sheet name="Sheet2" sheetId="15" r:id="rId15"/>
  </sheets>
  <definedNames>
    <definedName name="_xlnm._FilterDatabase" localSheetId="10" hidden="1">'1-10'!$A$1:$AY$100</definedName>
    <definedName name="_xlnm._FilterDatabase" localSheetId="0" hidden="1">mayor!$A$16:$C$16</definedName>
    <definedName name="_xlnm._FilterDatabase" localSheetId="11" hidden="1">'new veh 2012'!$A$1:$J$95</definedName>
    <definedName name="_xlnm._FilterDatabase" localSheetId="9" hidden="1">orig!$A$1:$AN$198</definedName>
    <definedName name="_xlnm._FilterDatabase" localSheetId="13" hidden="1">stbk!$A$1:$G$199</definedName>
    <definedName name="_xlnm.Print_Area" localSheetId="7">BUDGET!$A$1:$B$76</definedName>
    <definedName name="_xlnm.Print_Area" localSheetId="5">CEM!$A$1:$Q$148</definedName>
    <definedName name="_xlnm.Print_Area" localSheetId="3">'COMMUNITY SERV'!$A$1:$Q$106</definedName>
    <definedName name="_xlnm.Print_Area" localSheetId="4">EEM!$A$1:$Q$108</definedName>
    <definedName name="_xlnm.Print_Area" localSheetId="1">income!$A$1:$Q$16</definedName>
    <definedName name="_xlnm.Print_Area" localSheetId="0">mayor!$A$1:$Q$42</definedName>
    <definedName name="_xlnm.Print_Area" localSheetId="6">MDC!$A$1:$Q$99</definedName>
    <definedName name="_xlnm.Print_Area" localSheetId="2">workshop!$A$1:$Q$20</definedName>
    <definedName name="Z_594C4AB0_8D5F_4373_9663_410F4413FE3A_.wvu.Cols" localSheetId="10" hidden="1">'1-10'!$B:$B</definedName>
    <definedName name="Z_594C4AB0_8D5F_4373_9663_410F4413FE3A_.wvu.Cols" localSheetId="7" hidden="1">BUDGET!$C:$U</definedName>
    <definedName name="Z_594C4AB0_8D5F_4373_9663_410F4413FE3A_.wvu.Cols" localSheetId="4" hidden="1">EEM!$P:$P</definedName>
    <definedName name="Z_594C4AB0_8D5F_4373_9663_410F4413FE3A_.wvu.Cols" localSheetId="1" hidden="1">income!$P:$P</definedName>
    <definedName name="Z_594C4AB0_8D5F_4373_9663_410F4413FE3A_.wvu.Cols" localSheetId="0" hidden="1">mayor!$P:$P</definedName>
    <definedName name="Z_594C4AB0_8D5F_4373_9663_410F4413FE3A_.wvu.Cols" localSheetId="6" hidden="1">MDC!$J:$J,MDC!$P:$P</definedName>
    <definedName name="Z_594C4AB0_8D5F_4373_9663_410F4413FE3A_.wvu.Cols" localSheetId="2" hidden="1">workshop!$J:$J,workshop!$P:$P</definedName>
    <definedName name="Z_594C4AB0_8D5F_4373_9663_410F4413FE3A_.wvu.FilterData" localSheetId="10" hidden="1">'1-10'!$A$1:$AY$100</definedName>
    <definedName name="Z_594C4AB0_8D5F_4373_9663_410F4413FE3A_.wvu.FilterData" localSheetId="11" hidden="1">'new veh 2012'!$A$1:$J$95</definedName>
    <definedName name="Z_594C4AB0_8D5F_4373_9663_410F4413FE3A_.wvu.FilterData" localSheetId="9" hidden="1">orig!$A$1:$AN$198</definedName>
    <definedName name="Z_594C4AB0_8D5F_4373_9663_410F4413FE3A_.wvu.FilterData" localSheetId="13" hidden="1">stbk!$A$1:$G$199</definedName>
    <definedName name="Z_594C4AB0_8D5F_4373_9663_410F4413FE3A_.wvu.PrintArea" localSheetId="7" hidden="1">BUDGET!$A$1:$B$76</definedName>
    <definedName name="Z_594C4AB0_8D5F_4373_9663_410F4413FE3A_.wvu.PrintArea" localSheetId="5" hidden="1">CEM!$A$1:$Q$148</definedName>
    <definedName name="Z_594C4AB0_8D5F_4373_9663_410F4413FE3A_.wvu.PrintArea" localSheetId="3" hidden="1">'COMMUNITY SERV'!$A$1:$Q$106</definedName>
    <definedName name="Z_594C4AB0_8D5F_4373_9663_410F4413FE3A_.wvu.PrintArea" localSheetId="4" hidden="1">EEM!$A$1:$Q$108</definedName>
    <definedName name="Z_594C4AB0_8D5F_4373_9663_410F4413FE3A_.wvu.PrintArea" localSheetId="1" hidden="1">income!$A$1:$Q$16</definedName>
    <definedName name="Z_594C4AB0_8D5F_4373_9663_410F4413FE3A_.wvu.PrintArea" localSheetId="0" hidden="1">mayor!$A$1:$Q$42</definedName>
    <definedName name="Z_594C4AB0_8D5F_4373_9663_410F4413FE3A_.wvu.PrintArea" localSheetId="6" hidden="1">MDC!$A$1:$Q$99</definedName>
    <definedName name="Z_594C4AB0_8D5F_4373_9663_410F4413FE3A_.wvu.PrintArea" localSheetId="2" hidden="1">workshop!$A$1:$Q$20</definedName>
    <definedName name="Z_594C4AB0_8D5F_4373_9663_410F4413FE3A_.wvu.Rows" localSheetId="7" hidden="1">BUDGET!$2:$7,BUDGET!$9:$9,BUDGET!$11:$11,BUDGET!$13:$16,BUDGET!$18:$21,BUDGET!$23:$23,BUDGET!$25:$28,BUDGET!$30:$36,BUDGET!$38:$38,BUDGET!$40:$40,BUDGET!$42:$47,BUDGET!$49:$49,BUDGET!$51:$54,BUDGET!$56:$59,BUDGET!$61:$66,BUDGET!$68:$68,BUDGET!$70:$70</definedName>
    <definedName name="Z_594C4AB0_8D5F_4373_9663_410F4413FE3A_.wvu.Rows" localSheetId="5" hidden="1">CEM!$143:$143</definedName>
    <definedName name="Z_594C4AB0_8D5F_4373_9663_410F4413FE3A_.wvu.Rows" localSheetId="6" hidden="1">MDC!$67:$73</definedName>
    <definedName name="Z_594C4AB0_8D5F_4373_9663_410F4413FE3A_.wvu.Rows" localSheetId="11" hidden="1">'new veh 2012'!$96:$97</definedName>
    <definedName name="Z_60788006_5C2B_4CAF_8D5B_3FA82F99F0BB_.wvu.Cols" localSheetId="10" hidden="1">'1-10'!$B:$B</definedName>
    <definedName name="Z_60788006_5C2B_4CAF_8D5B_3FA82F99F0BB_.wvu.Cols" localSheetId="7" hidden="1">BUDGET!$C:$S</definedName>
    <definedName name="Z_60788006_5C2B_4CAF_8D5B_3FA82F99F0BB_.wvu.Cols" localSheetId="5" hidden="1">CEM!$P:$P</definedName>
    <definedName name="Z_60788006_5C2B_4CAF_8D5B_3FA82F99F0BB_.wvu.Cols" localSheetId="1" hidden="1">income!$P:$P</definedName>
    <definedName name="Z_60788006_5C2B_4CAF_8D5B_3FA82F99F0BB_.wvu.Cols" localSheetId="0" hidden="1">mayor!$P:$P</definedName>
    <definedName name="Z_60788006_5C2B_4CAF_8D5B_3FA82F99F0BB_.wvu.Cols" localSheetId="6" hidden="1">MDC!$J:$J,MDC!$P:$P</definedName>
    <definedName name="Z_60788006_5C2B_4CAF_8D5B_3FA82F99F0BB_.wvu.Cols" localSheetId="2" hidden="1">workshop!$J:$J,workshop!$P:$P</definedName>
    <definedName name="Z_60788006_5C2B_4CAF_8D5B_3FA82F99F0BB_.wvu.FilterData" localSheetId="10" hidden="1">'1-10'!$A$1:$AY$100</definedName>
    <definedName name="Z_60788006_5C2B_4CAF_8D5B_3FA82F99F0BB_.wvu.FilterData" localSheetId="0" hidden="1">mayor!$A$16:$C$16</definedName>
    <definedName name="Z_60788006_5C2B_4CAF_8D5B_3FA82F99F0BB_.wvu.FilterData" localSheetId="11" hidden="1">'new veh 2012'!$A$1:$J$95</definedName>
    <definedName name="Z_60788006_5C2B_4CAF_8D5B_3FA82F99F0BB_.wvu.FilterData" localSheetId="9" hidden="1">orig!$A$1:$AN$198</definedName>
    <definedName name="Z_60788006_5C2B_4CAF_8D5B_3FA82F99F0BB_.wvu.FilterData" localSheetId="13" hidden="1">stbk!$A$1:$G$199</definedName>
    <definedName name="Z_60788006_5C2B_4CAF_8D5B_3FA82F99F0BB_.wvu.PrintArea" localSheetId="7" hidden="1">BUDGET!$A$1:$B$76</definedName>
    <definedName name="Z_60788006_5C2B_4CAF_8D5B_3FA82F99F0BB_.wvu.PrintArea" localSheetId="5" hidden="1">CEM!$A$1:$Q$148</definedName>
    <definedName name="Z_60788006_5C2B_4CAF_8D5B_3FA82F99F0BB_.wvu.PrintArea" localSheetId="3" hidden="1">'COMMUNITY SERV'!$A$1:$Q$106</definedName>
    <definedName name="Z_60788006_5C2B_4CAF_8D5B_3FA82F99F0BB_.wvu.PrintArea" localSheetId="4" hidden="1">EEM!$A$1:$Q$108</definedName>
    <definedName name="Z_60788006_5C2B_4CAF_8D5B_3FA82F99F0BB_.wvu.PrintArea" localSheetId="1" hidden="1">income!$A$1:$Q$16</definedName>
    <definedName name="Z_60788006_5C2B_4CAF_8D5B_3FA82F99F0BB_.wvu.PrintArea" localSheetId="0" hidden="1">mayor!$A$1:$Q$42</definedName>
    <definedName name="Z_60788006_5C2B_4CAF_8D5B_3FA82F99F0BB_.wvu.PrintArea" localSheetId="6" hidden="1">MDC!$A$1:$Q$99</definedName>
    <definedName name="Z_60788006_5C2B_4CAF_8D5B_3FA82F99F0BB_.wvu.PrintArea" localSheetId="2" hidden="1">workshop!$A$1:$Q$20</definedName>
    <definedName name="Z_60788006_5C2B_4CAF_8D5B_3FA82F99F0BB_.wvu.Rows" localSheetId="7" hidden="1">BUDGET!$3:$7,BUDGET!$9:$9,BUDGET!$11:$11,BUDGET!$13:$16,BUDGET!$18:$21,BUDGET!$23:$23,BUDGET!$25:$28,BUDGET!$30:$36,BUDGET!$38:$38,BUDGET!$40:$40,BUDGET!$42:$47,BUDGET!$49:$49,BUDGET!$51:$54,BUDGET!$56:$59,BUDGET!$61:$66,BUDGET!$68:$68,BUDGET!$70:$70</definedName>
    <definedName name="Z_60788006_5C2B_4CAF_8D5B_3FA82F99F0BB_.wvu.Rows" localSheetId="5" hidden="1">CEM!$143:$143</definedName>
    <definedName name="Z_60788006_5C2B_4CAF_8D5B_3FA82F99F0BB_.wvu.Rows" localSheetId="6" hidden="1">MDC!$67:$73</definedName>
    <definedName name="Z_60788006_5C2B_4CAF_8D5B_3FA82F99F0BB_.wvu.Rows" localSheetId="11" hidden="1">'new veh 2012'!$96:$97</definedName>
    <definedName name="Z_6C0BD6A7_6718_429D_82D9_D2FE0341EA2C_.wvu.Cols" localSheetId="10" hidden="1">'1-10'!$B:$B</definedName>
    <definedName name="Z_6C0BD6A7_6718_429D_82D9_D2FE0341EA2C_.wvu.Cols" localSheetId="7" hidden="1">BUDGET!$C:$S</definedName>
    <definedName name="Z_6C0BD6A7_6718_429D_82D9_D2FE0341EA2C_.wvu.Cols" localSheetId="4" hidden="1">EEM!$P:$P</definedName>
    <definedName name="Z_6C0BD6A7_6718_429D_82D9_D2FE0341EA2C_.wvu.Cols" localSheetId="1" hidden="1">income!$P:$P</definedName>
    <definedName name="Z_6C0BD6A7_6718_429D_82D9_D2FE0341EA2C_.wvu.Cols" localSheetId="0" hidden="1">mayor!$P:$P</definedName>
    <definedName name="Z_6C0BD6A7_6718_429D_82D9_D2FE0341EA2C_.wvu.Cols" localSheetId="6" hidden="1">MDC!$J:$J,MDC!$P:$P</definedName>
    <definedName name="Z_6C0BD6A7_6718_429D_82D9_D2FE0341EA2C_.wvu.Cols" localSheetId="2" hidden="1">workshop!$J:$J,workshop!$P:$P</definedName>
    <definedName name="Z_6C0BD6A7_6718_429D_82D9_D2FE0341EA2C_.wvu.FilterData" localSheetId="10" hidden="1">'1-10'!$A$1:$AY$100</definedName>
    <definedName name="Z_6C0BD6A7_6718_429D_82D9_D2FE0341EA2C_.wvu.FilterData" localSheetId="11" hidden="1">'new veh 2012'!$A$1:$J$95</definedName>
    <definedName name="Z_6C0BD6A7_6718_429D_82D9_D2FE0341EA2C_.wvu.FilterData" localSheetId="9" hidden="1">orig!$A$1:$AN$198</definedName>
    <definedName name="Z_6C0BD6A7_6718_429D_82D9_D2FE0341EA2C_.wvu.FilterData" localSheetId="13" hidden="1">stbk!$A$1:$G$199</definedName>
    <definedName name="Z_6C0BD6A7_6718_429D_82D9_D2FE0341EA2C_.wvu.PrintArea" localSheetId="7" hidden="1">BUDGET!$A$1:$B$76</definedName>
    <definedName name="Z_6C0BD6A7_6718_429D_82D9_D2FE0341EA2C_.wvu.PrintArea" localSheetId="5" hidden="1">CEM!$A$1:$Q$148</definedName>
    <definedName name="Z_6C0BD6A7_6718_429D_82D9_D2FE0341EA2C_.wvu.PrintArea" localSheetId="3" hidden="1">'COMMUNITY SERV'!$A$1:$Q$106</definedName>
    <definedName name="Z_6C0BD6A7_6718_429D_82D9_D2FE0341EA2C_.wvu.PrintArea" localSheetId="4" hidden="1">EEM!$A$1:$Q$108</definedName>
    <definedName name="Z_6C0BD6A7_6718_429D_82D9_D2FE0341EA2C_.wvu.PrintArea" localSheetId="1" hidden="1">income!$A$1:$Q$16</definedName>
    <definedName name="Z_6C0BD6A7_6718_429D_82D9_D2FE0341EA2C_.wvu.PrintArea" localSheetId="0" hidden="1">mayor!$A$1:$Q$42</definedName>
    <definedName name="Z_6C0BD6A7_6718_429D_82D9_D2FE0341EA2C_.wvu.PrintArea" localSheetId="6" hidden="1">MDC!$A$1:$Q$99</definedName>
    <definedName name="Z_6C0BD6A7_6718_429D_82D9_D2FE0341EA2C_.wvu.PrintArea" localSheetId="2" hidden="1">workshop!$A$1:$Q$20</definedName>
    <definedName name="Z_6C0BD6A7_6718_429D_82D9_D2FE0341EA2C_.wvu.Rows" localSheetId="7" hidden="1">BUDGET!$3:$7,BUDGET!$9:$9,BUDGET!$11:$11,BUDGET!$13:$16,BUDGET!$18:$21,BUDGET!$23:$23,BUDGET!$25:$28,BUDGET!$30:$36,BUDGET!$38:$38,BUDGET!$40:$40,BUDGET!$42:$47,BUDGET!$49:$49,BUDGET!$51:$54,BUDGET!$56:$59,BUDGET!$61:$66,BUDGET!$68:$68,BUDGET!$70:$70</definedName>
    <definedName name="Z_6C0BD6A7_6718_429D_82D9_D2FE0341EA2C_.wvu.Rows" localSheetId="5" hidden="1">CEM!$143:$143</definedName>
    <definedName name="Z_6C0BD6A7_6718_429D_82D9_D2FE0341EA2C_.wvu.Rows" localSheetId="6" hidden="1">MDC!$67:$73</definedName>
    <definedName name="Z_6C0BD6A7_6718_429D_82D9_D2FE0341EA2C_.wvu.Rows" localSheetId="11" hidden="1">'new veh 2012'!$96:$97</definedName>
    <definedName name="Z_DF69299D_7752_4436_A45D_28F739CEE21B_.wvu.Cols" localSheetId="10" hidden="1">'1-10'!$B:$B</definedName>
    <definedName name="Z_DF69299D_7752_4436_A45D_28F739CEE21B_.wvu.Cols" localSheetId="7" hidden="1">BUDGET!$C:$S</definedName>
    <definedName name="Z_DF69299D_7752_4436_A45D_28F739CEE21B_.wvu.Cols" localSheetId="5" hidden="1">CEM!$P:$P</definedName>
    <definedName name="Z_DF69299D_7752_4436_A45D_28F739CEE21B_.wvu.Cols" localSheetId="1" hidden="1">income!$P:$P</definedName>
    <definedName name="Z_DF69299D_7752_4436_A45D_28F739CEE21B_.wvu.Cols" localSheetId="0" hidden="1">mayor!$P:$P</definedName>
    <definedName name="Z_DF69299D_7752_4436_A45D_28F739CEE21B_.wvu.Cols" localSheetId="6" hidden="1">MDC!$J:$J,MDC!$P:$P</definedName>
    <definedName name="Z_DF69299D_7752_4436_A45D_28F739CEE21B_.wvu.Cols" localSheetId="2" hidden="1">workshop!$J:$J,workshop!$P:$P</definedName>
    <definedName name="Z_DF69299D_7752_4436_A45D_28F739CEE21B_.wvu.FilterData" localSheetId="10" hidden="1">'1-10'!$A$1:$AY$100</definedName>
    <definedName name="Z_DF69299D_7752_4436_A45D_28F739CEE21B_.wvu.FilterData" localSheetId="0" hidden="1">mayor!$A$16:$C$16</definedName>
    <definedName name="Z_DF69299D_7752_4436_A45D_28F739CEE21B_.wvu.FilterData" localSheetId="11" hidden="1">'new veh 2012'!$A$1:$J$95</definedName>
    <definedName name="Z_DF69299D_7752_4436_A45D_28F739CEE21B_.wvu.FilterData" localSheetId="9" hidden="1">orig!$A$1:$AN$198</definedName>
    <definedName name="Z_DF69299D_7752_4436_A45D_28F739CEE21B_.wvu.FilterData" localSheetId="13" hidden="1">stbk!$A$1:$G$199</definedName>
    <definedName name="Z_DF69299D_7752_4436_A45D_28F739CEE21B_.wvu.PrintArea" localSheetId="7" hidden="1">BUDGET!$A$1:$B$76</definedName>
    <definedName name="Z_DF69299D_7752_4436_A45D_28F739CEE21B_.wvu.PrintArea" localSheetId="5" hidden="1">CEM!$A$1:$Q$148</definedName>
    <definedName name="Z_DF69299D_7752_4436_A45D_28F739CEE21B_.wvu.PrintArea" localSheetId="3" hidden="1">'COMMUNITY SERV'!$A$1:$Q$106</definedName>
    <definedName name="Z_DF69299D_7752_4436_A45D_28F739CEE21B_.wvu.PrintArea" localSheetId="4" hidden="1">EEM!$A$1:$Q$108</definedName>
    <definedName name="Z_DF69299D_7752_4436_A45D_28F739CEE21B_.wvu.PrintArea" localSheetId="1" hidden="1">income!$A$1:$Q$16</definedName>
    <definedName name="Z_DF69299D_7752_4436_A45D_28F739CEE21B_.wvu.PrintArea" localSheetId="0" hidden="1">mayor!$A$1:$Q$42</definedName>
    <definedName name="Z_DF69299D_7752_4436_A45D_28F739CEE21B_.wvu.PrintArea" localSheetId="6" hidden="1">MDC!$A$1:$Q$99</definedName>
    <definedName name="Z_DF69299D_7752_4436_A45D_28F739CEE21B_.wvu.PrintArea" localSheetId="2" hidden="1">workshop!$A$1:$Q$20</definedName>
    <definedName name="Z_DF69299D_7752_4436_A45D_28F739CEE21B_.wvu.Rows" localSheetId="7" hidden="1">BUDGET!$3:$7,BUDGET!$9:$9,BUDGET!$11:$11,BUDGET!$13:$16,BUDGET!$18:$21,BUDGET!$23:$23,BUDGET!$25:$28,BUDGET!$30:$36,BUDGET!$38:$38,BUDGET!$40:$40,BUDGET!$42:$47,BUDGET!$49:$49,BUDGET!$51:$54,BUDGET!$56:$59,BUDGET!$61:$66,BUDGET!$68:$68,BUDGET!$70:$70</definedName>
    <definedName name="Z_DF69299D_7752_4436_A45D_28F739CEE21B_.wvu.Rows" localSheetId="5" hidden="1">CEM!$143:$143</definedName>
    <definedName name="Z_DF69299D_7752_4436_A45D_28F739CEE21B_.wvu.Rows" localSheetId="6" hidden="1">MDC!$67:$73</definedName>
    <definedName name="Z_DF69299D_7752_4436_A45D_28F739CEE21B_.wvu.Rows" localSheetId="11" hidden="1">'new veh 2012'!$96:$97</definedName>
  </definedNames>
  <calcPr calcId="191029"/>
  <customWorkbookViews>
    <customWorkbookView name="Siyakudumisa Nokwe - Personal View" guid="{60788006-5C2B-4CAF-8D5B-3FA82F99F0BB}" mergeInterval="0" personalView="1" maximized="1" xWindow="-9" yWindow="-9" windowWidth="1938" windowHeight="1038" tabRatio="826" activeSheetId="6"/>
    <customWorkbookView name="tendani - Personal View" guid="{6C0BD6A7-6718-429D-82D9-D2FE0341EA2C}" mergeInterval="0" personalView="1" xWindow="80" yWindow="7" windowWidth="1280" windowHeight="721" tabRatio="826" activeSheetId="6"/>
    <customWorkbookView name="Lydia Du Plessis - Personal View" guid="{594C4AB0-8D5F-4373-9663-410F4413FE3A}" mergeInterval="0" personalView="1" maximized="1" xWindow="-8" yWindow="-8" windowWidth="1936" windowHeight="1056" tabRatio="826" activeSheetId="6"/>
    <customWorkbookView name="Andre A. Le Grange - Personal View" guid="{DF69299D-7752-4436-A45D-28F739CEE21B}" mergeInterval="0" personalView="1" maximized="1" xWindow="-9" yWindow="-9" windowWidth="1938" windowHeight="1038" tabRatio="826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7" i="4" l="1"/>
  <c r="H117" i="4"/>
  <c r="I117" i="4"/>
  <c r="J117" i="4"/>
  <c r="K117" i="4"/>
  <c r="L117" i="4"/>
  <c r="E117" i="4"/>
  <c r="K116" i="4"/>
  <c r="H116" i="4"/>
  <c r="E116" i="4"/>
  <c r="B116" i="4"/>
  <c r="A116" i="4"/>
  <c r="K115" i="4"/>
  <c r="H115" i="4"/>
  <c r="E115" i="4"/>
  <c r="B115" i="4"/>
  <c r="A115" i="4"/>
  <c r="K114" i="4"/>
  <c r="I114" i="4"/>
  <c r="H114" i="4"/>
  <c r="E114" i="4"/>
  <c r="B114" i="4"/>
  <c r="A114" i="4"/>
  <c r="K45" i="5"/>
  <c r="K42" i="5"/>
  <c r="K30" i="5"/>
  <c r="K31" i="5"/>
  <c r="E31" i="5"/>
  <c r="H75" i="4"/>
  <c r="K75" i="4"/>
  <c r="E75" i="4"/>
  <c r="M75" i="4" l="1"/>
  <c r="K77" i="7"/>
  <c r="K62" i="7"/>
  <c r="K56" i="7"/>
  <c r="K44" i="7"/>
  <c r="K39" i="7"/>
  <c r="K34" i="7"/>
  <c r="K29" i="7"/>
  <c r="K23" i="7"/>
  <c r="K24" i="7"/>
  <c r="K22" i="7"/>
  <c r="K16" i="7"/>
  <c r="K8" i="7"/>
  <c r="K9" i="7"/>
  <c r="K10" i="7"/>
  <c r="K11" i="7"/>
  <c r="K12" i="7"/>
  <c r="K13" i="7"/>
  <c r="K14" i="7"/>
  <c r="K15" i="7"/>
  <c r="K7" i="7"/>
  <c r="K130" i="6"/>
  <c r="K122" i="6"/>
  <c r="K123" i="6"/>
  <c r="K121" i="6"/>
  <c r="K119" i="6"/>
  <c r="K118" i="6"/>
  <c r="K113" i="6"/>
  <c r="K112" i="6"/>
  <c r="K111" i="6"/>
  <c r="K99" i="6"/>
  <c r="K95" i="6"/>
  <c r="K94" i="6"/>
  <c r="K93" i="6"/>
  <c r="K92" i="6"/>
  <c r="K90" i="6"/>
  <c r="K91" i="6"/>
  <c r="K89" i="6"/>
  <c r="K81" i="6"/>
  <c r="K82" i="6"/>
  <c r="K83" i="6"/>
  <c r="K80" i="6"/>
  <c r="K75" i="6"/>
  <c r="K74" i="6"/>
  <c r="K69" i="6"/>
  <c r="K68" i="6"/>
  <c r="K63" i="6"/>
  <c r="K62" i="6"/>
  <c r="K57" i="6"/>
  <c r="K56" i="6"/>
  <c r="K55" i="6"/>
  <c r="K54" i="6"/>
  <c r="K53" i="6"/>
  <c r="K47" i="6"/>
  <c r="K46" i="6"/>
  <c r="K40" i="6"/>
  <c r="K35" i="6"/>
  <c r="K28" i="6"/>
  <c r="K29" i="6"/>
  <c r="K30" i="6"/>
  <c r="K27" i="6"/>
  <c r="K21" i="6"/>
  <c r="K22" i="6"/>
  <c r="K20" i="6"/>
  <c r="K14" i="6"/>
  <c r="K15" i="6"/>
  <c r="K13" i="6"/>
  <c r="K8" i="6"/>
  <c r="K7" i="6"/>
  <c r="K88" i="5"/>
  <c r="K89" i="5"/>
  <c r="K90" i="5"/>
  <c r="K91" i="5"/>
  <c r="K87" i="5"/>
  <c r="K81" i="5"/>
  <c r="K75" i="5"/>
  <c r="K74" i="5"/>
  <c r="K68" i="5"/>
  <c r="K67" i="5"/>
  <c r="K60" i="5"/>
  <c r="K53" i="5"/>
  <c r="K48" i="5"/>
  <c r="K47" i="5"/>
  <c r="K44" i="5"/>
  <c r="K43" i="5"/>
  <c r="K33" i="5"/>
  <c r="K34" i="5"/>
  <c r="K35" i="5"/>
  <c r="K36" i="5"/>
  <c r="K37" i="5"/>
  <c r="K38" i="5"/>
  <c r="K39" i="5"/>
  <c r="K41" i="5"/>
  <c r="K32" i="5"/>
  <c r="K29" i="5"/>
  <c r="K18" i="5"/>
  <c r="K19" i="5"/>
  <c r="K20" i="5"/>
  <c r="K21" i="5"/>
  <c r="K22" i="5"/>
  <c r="K17" i="5"/>
  <c r="K14" i="5"/>
  <c r="K15" i="5"/>
  <c r="K13" i="5"/>
  <c r="K7" i="5"/>
  <c r="K93" i="5"/>
  <c r="K100" i="4"/>
  <c r="K95" i="4"/>
  <c r="K93" i="4"/>
  <c r="K94" i="4"/>
  <c r="K92" i="4"/>
  <c r="K82" i="4"/>
  <c r="K83" i="4"/>
  <c r="K84" i="4"/>
  <c r="K85" i="4"/>
  <c r="K86" i="4"/>
  <c r="K81" i="4"/>
  <c r="K76" i="4"/>
  <c r="K74" i="4"/>
  <c r="K67" i="4"/>
  <c r="K68" i="4"/>
  <c r="K69" i="4"/>
  <c r="K70" i="4"/>
  <c r="K71" i="4"/>
  <c r="K72" i="4"/>
  <c r="K73" i="4"/>
  <c r="K66" i="4"/>
  <c r="K58" i="4"/>
  <c r="K57" i="4"/>
  <c r="K45" i="4"/>
  <c r="K46" i="4"/>
  <c r="K44" i="4"/>
  <c r="K38" i="4"/>
  <c r="K37" i="4"/>
  <c r="K36" i="4"/>
  <c r="K34" i="4"/>
  <c r="K35" i="4"/>
  <c r="K33" i="4"/>
  <c r="K27" i="4"/>
  <c r="K21" i="4"/>
  <c r="K20" i="4"/>
  <c r="K14" i="4"/>
  <c r="K7" i="4"/>
  <c r="K15" i="3"/>
  <c r="K10" i="3"/>
  <c r="K8" i="3"/>
  <c r="K10" i="2"/>
  <c r="K9" i="2"/>
  <c r="K35" i="1"/>
  <c r="K34" i="1"/>
  <c r="K28" i="1"/>
  <c r="K29" i="1"/>
  <c r="K16" i="1"/>
  <c r="K15" i="1"/>
  <c r="K8" i="1"/>
  <c r="K9" i="1"/>
  <c r="H89" i="7"/>
  <c r="H90" i="7"/>
  <c r="H91" i="7"/>
  <c r="H92" i="7"/>
  <c r="H88" i="7"/>
  <c r="H77" i="7"/>
  <c r="H62" i="7"/>
  <c r="H56" i="7"/>
  <c r="H44" i="7"/>
  <c r="H39" i="7"/>
  <c r="H34" i="7"/>
  <c r="H29" i="7"/>
  <c r="H23" i="7"/>
  <c r="H24" i="7"/>
  <c r="H22" i="7"/>
  <c r="H8" i="7"/>
  <c r="H9" i="7"/>
  <c r="H10" i="7"/>
  <c r="H11" i="7"/>
  <c r="H12" i="7"/>
  <c r="H13" i="7"/>
  <c r="H14" i="7"/>
  <c r="H15" i="7"/>
  <c r="H16" i="7"/>
  <c r="H7" i="7"/>
  <c r="H130" i="6"/>
  <c r="H122" i="6"/>
  <c r="H123" i="6"/>
  <c r="H121" i="6"/>
  <c r="H119" i="6"/>
  <c r="H118" i="6"/>
  <c r="H113" i="6"/>
  <c r="H112" i="6"/>
  <c r="H111" i="6"/>
  <c r="H100" i="6"/>
  <c r="H101" i="6"/>
  <c r="H102" i="6"/>
  <c r="H103" i="6"/>
  <c r="H99" i="6"/>
  <c r="H90" i="6"/>
  <c r="H91" i="6"/>
  <c r="H92" i="6"/>
  <c r="H93" i="6"/>
  <c r="H94" i="6"/>
  <c r="H89" i="6"/>
  <c r="H75" i="6"/>
  <c r="H74" i="6"/>
  <c r="H69" i="6"/>
  <c r="H68" i="6"/>
  <c r="H63" i="6"/>
  <c r="H62" i="6"/>
  <c r="H57" i="6"/>
  <c r="H54" i="6"/>
  <c r="H55" i="6"/>
  <c r="H56" i="6"/>
  <c r="H53" i="6"/>
  <c r="H47" i="6"/>
  <c r="H46" i="6"/>
  <c r="H40" i="6"/>
  <c r="H35" i="6"/>
  <c r="H30" i="6"/>
  <c r="H28" i="6"/>
  <c r="H29" i="6"/>
  <c r="H27" i="6"/>
  <c r="H21" i="6"/>
  <c r="H22" i="6"/>
  <c r="H20" i="6"/>
  <c r="H14" i="6"/>
  <c r="H15" i="6"/>
  <c r="H13" i="6"/>
  <c r="H8" i="6"/>
  <c r="H7" i="6"/>
  <c r="H93" i="5"/>
  <c r="H99" i="5"/>
  <c r="H88" i="5"/>
  <c r="H89" i="5"/>
  <c r="H90" i="5"/>
  <c r="H91" i="5"/>
  <c r="H87" i="5"/>
  <c r="H81" i="5"/>
  <c r="H75" i="5"/>
  <c r="H74" i="5"/>
  <c r="H68" i="5"/>
  <c r="H67" i="5"/>
  <c r="H60" i="5"/>
  <c r="H53" i="5"/>
  <c r="H48" i="5"/>
  <c r="H47" i="5"/>
  <c r="H44" i="5"/>
  <c r="H43" i="5"/>
  <c r="H41" i="5"/>
  <c r="H39" i="5"/>
  <c r="H38" i="5"/>
  <c r="H35" i="5"/>
  <c r="H36" i="5"/>
  <c r="H37" i="5"/>
  <c r="H34" i="5"/>
  <c r="H33" i="5"/>
  <c r="H32" i="5"/>
  <c r="H29" i="5"/>
  <c r="H18" i="5"/>
  <c r="H19" i="5"/>
  <c r="H20" i="5"/>
  <c r="H21" i="5"/>
  <c r="H22" i="5"/>
  <c r="H17" i="5"/>
  <c r="H14" i="5"/>
  <c r="H15" i="5"/>
  <c r="H13" i="5"/>
  <c r="H7" i="5"/>
  <c r="H100" i="4"/>
  <c r="H95" i="4"/>
  <c r="H93" i="4"/>
  <c r="H94" i="4"/>
  <c r="H92" i="4"/>
  <c r="H82" i="4"/>
  <c r="H83" i="4"/>
  <c r="H84" i="4"/>
  <c r="H85" i="4"/>
  <c r="H86" i="4"/>
  <c r="H81" i="4"/>
  <c r="H67" i="4"/>
  <c r="H68" i="4"/>
  <c r="H69" i="4"/>
  <c r="H70" i="4"/>
  <c r="H71" i="4"/>
  <c r="H72" i="4"/>
  <c r="H73" i="4"/>
  <c r="H74" i="4"/>
  <c r="H76" i="4"/>
  <c r="H66" i="4"/>
  <c r="H58" i="4"/>
  <c r="H57" i="4"/>
  <c r="H45" i="4"/>
  <c r="H46" i="4"/>
  <c r="H47" i="4"/>
  <c r="H44" i="4"/>
  <c r="H38" i="4"/>
  <c r="H37" i="4"/>
  <c r="H36" i="4"/>
  <c r="H35" i="4"/>
  <c r="H34" i="4"/>
  <c r="H33" i="4"/>
  <c r="H21" i="4"/>
  <c r="H27" i="4"/>
  <c r="H20" i="4"/>
  <c r="H14" i="4"/>
  <c r="H7" i="4"/>
  <c r="H15" i="3"/>
  <c r="H10" i="3"/>
  <c r="H8" i="3"/>
  <c r="H10" i="2"/>
  <c r="H9" i="2"/>
  <c r="H35" i="1"/>
  <c r="H34" i="1"/>
  <c r="H29" i="1"/>
  <c r="H16" i="1"/>
  <c r="H15" i="1"/>
  <c r="H9" i="1"/>
  <c r="H8" i="1"/>
  <c r="E70" i="4"/>
  <c r="E71" i="4"/>
  <c r="H77" i="4" l="1"/>
  <c r="F29" i="1"/>
  <c r="F35" i="1"/>
  <c r="E38" i="5"/>
  <c r="F10" i="2" l="1"/>
  <c r="F9" i="2"/>
  <c r="F34" i="1"/>
  <c r="F28" i="1"/>
  <c r="F30" i="1" s="1"/>
  <c r="F16" i="1"/>
  <c r="F15" i="1"/>
  <c r="F9" i="1"/>
  <c r="F8" i="1"/>
  <c r="E8" i="1"/>
  <c r="E99" i="5"/>
  <c r="M99" i="5" s="1"/>
  <c r="L106" i="5"/>
  <c r="J106" i="5"/>
  <c r="I106" i="5"/>
  <c r="F106" i="5"/>
  <c r="D106" i="5"/>
  <c r="H106" i="5"/>
  <c r="G106" i="5"/>
  <c r="L101" i="5"/>
  <c r="K101" i="5"/>
  <c r="J101" i="5"/>
  <c r="I101" i="5"/>
  <c r="H101" i="5"/>
  <c r="F101" i="5"/>
  <c r="D101" i="5"/>
  <c r="G101" i="5"/>
  <c r="D93" i="7"/>
  <c r="H93" i="7"/>
  <c r="I93" i="7"/>
  <c r="J93" i="7"/>
  <c r="K93" i="7"/>
  <c r="L93" i="7"/>
  <c r="N93" i="7"/>
  <c r="P93" i="7"/>
  <c r="F93" i="7"/>
  <c r="F96" i="4"/>
  <c r="I96" i="4"/>
  <c r="J96" i="4"/>
  <c r="L96" i="4"/>
  <c r="D96" i="4"/>
  <c r="E95" i="4"/>
  <c r="I15" i="1"/>
  <c r="A23" i="9"/>
  <c r="K16" i="6"/>
  <c r="K96" i="4"/>
  <c r="I76" i="4"/>
  <c r="E76" i="4"/>
  <c r="F58" i="6"/>
  <c r="J58" i="6"/>
  <c r="L58" i="6"/>
  <c r="I57" i="6"/>
  <c r="E57" i="6"/>
  <c r="I53" i="6"/>
  <c r="I54" i="6"/>
  <c r="B9" i="3"/>
  <c r="E10" i="2"/>
  <c r="B83" i="7"/>
  <c r="B77" i="7"/>
  <c r="B10" i="2"/>
  <c r="I10" i="2"/>
  <c r="A10" i="2"/>
  <c r="I58" i="6" l="1"/>
  <c r="E101" i="5"/>
  <c r="M101" i="5"/>
  <c r="E93" i="7"/>
  <c r="K58" i="6"/>
  <c r="A7" i="6"/>
  <c r="A8" i="6"/>
  <c r="A13" i="6"/>
  <c r="A14" i="6"/>
  <c r="A15" i="6"/>
  <c r="A20" i="6"/>
  <c r="A21" i="6"/>
  <c r="A22" i="6"/>
  <c r="A27" i="6"/>
  <c r="A28" i="6"/>
  <c r="A29" i="6"/>
  <c r="A30" i="6"/>
  <c r="A35" i="6"/>
  <c r="A40" i="6"/>
  <c r="A46" i="6"/>
  <c r="A47" i="6"/>
  <c r="A62" i="6"/>
  <c r="A63" i="6"/>
  <c r="A68" i="6"/>
  <c r="A69" i="6"/>
  <c r="A74" i="6"/>
  <c r="A75" i="6"/>
  <c r="A80" i="6"/>
  <c r="A81" i="6"/>
  <c r="A82" i="6"/>
  <c r="A83" i="6"/>
  <c r="E47" i="5"/>
  <c r="E46" i="5"/>
  <c r="E45" i="5"/>
  <c r="E44" i="5"/>
  <c r="E43" i="5"/>
  <c r="I68" i="4" l="1"/>
  <c r="I67" i="4"/>
  <c r="I66" i="4"/>
  <c r="I21" i="4"/>
  <c r="I20" i="4"/>
  <c r="I14" i="4"/>
  <c r="I15" i="3"/>
  <c r="I10" i="3"/>
  <c r="I8" i="3"/>
  <c r="I9" i="2"/>
  <c r="I34" i="1"/>
  <c r="I9" i="1"/>
  <c r="I8" i="1"/>
  <c r="H30" i="7" l="1"/>
  <c r="H58" i="6"/>
  <c r="H96" i="4"/>
  <c r="T151" i="6" l="1"/>
  <c r="T150" i="6"/>
  <c r="S152" i="6"/>
  <c r="T152" i="6" s="1"/>
  <c r="AA74" i="8"/>
  <c r="AA73" i="8"/>
  <c r="AA76" i="8" s="1"/>
  <c r="G77" i="7" l="1"/>
  <c r="G30" i="7"/>
  <c r="H36" i="6"/>
  <c r="G36" i="6"/>
  <c r="H1" i="1"/>
  <c r="G1" i="1"/>
  <c r="F138" i="6" l="1"/>
  <c r="M143" i="6"/>
  <c r="V77" i="8" l="1"/>
  <c r="B78" i="8" s="1"/>
  <c r="D74" i="8"/>
  <c r="O143" i="6"/>
  <c r="C20" i="9"/>
  <c r="D20" i="9" s="1"/>
  <c r="O161" i="6"/>
  <c r="O162" i="6" s="1"/>
  <c r="O157" i="6"/>
  <c r="O158" i="6" s="1"/>
  <c r="M152" i="6" s="1"/>
  <c r="G11" i="8"/>
  <c r="G5" i="8" s="1"/>
  <c r="O3" i="11" l="1"/>
  <c r="K36" i="1"/>
  <c r="J36" i="1"/>
  <c r="H36" i="1"/>
  <c r="F36" i="1"/>
  <c r="D36" i="1"/>
  <c r="I36" i="1"/>
  <c r="E34" i="1"/>
  <c r="E36" i="1" s="1"/>
  <c r="K16" i="3"/>
  <c r="H169" i="6"/>
  <c r="T76" i="8" l="1"/>
  <c r="T77" i="8" s="1"/>
  <c r="E9" i="2" l="1"/>
  <c r="E16" i="1"/>
  <c r="M156" i="6"/>
  <c r="I108" i="7" l="1"/>
  <c r="K9" i="13"/>
  <c r="K10" i="13" s="1"/>
  <c r="K12" i="13" s="1"/>
  <c r="C70" i="8" l="1"/>
  <c r="C68" i="8"/>
  <c r="B68" i="8" s="1"/>
  <c r="F98" i="7"/>
  <c r="H98" i="7"/>
  <c r="I98" i="7"/>
  <c r="J98" i="7"/>
  <c r="K98" i="7"/>
  <c r="D98" i="7"/>
  <c r="E54" i="8"/>
  <c r="D54" i="8"/>
  <c r="O52" i="8"/>
  <c r="N52" i="8"/>
  <c r="M52" i="8"/>
  <c r="L52" i="8"/>
  <c r="K52" i="8"/>
  <c r="J52" i="8"/>
  <c r="I52" i="8"/>
  <c r="H52" i="8"/>
  <c r="G52" i="8"/>
  <c r="F52" i="8"/>
  <c r="D52" i="8"/>
  <c r="C52" i="8"/>
  <c r="F59" i="8"/>
  <c r="G26" i="8"/>
  <c r="D21" i="8"/>
  <c r="C23" i="8"/>
  <c r="B23" i="8" s="1"/>
  <c r="C21" i="8"/>
  <c r="C9" i="8"/>
  <c r="C7" i="8"/>
  <c r="C5" i="8" l="1"/>
  <c r="B21" i="8"/>
  <c r="E28" i="1"/>
  <c r="E22" i="1"/>
  <c r="E15" i="1"/>
  <c r="E9" i="1"/>
  <c r="E13" i="6" l="1"/>
  <c r="E8" i="6"/>
  <c r="E7" i="6"/>
  <c r="E14" i="6"/>
  <c r="E15" i="6"/>
  <c r="E90" i="6"/>
  <c r="E91" i="6"/>
  <c r="E92" i="6"/>
  <c r="E93" i="6"/>
  <c r="E94" i="6"/>
  <c r="E95" i="6"/>
  <c r="F114" i="6"/>
  <c r="H114" i="6"/>
  <c r="I114" i="6"/>
  <c r="J114" i="6"/>
  <c r="K114" i="6"/>
  <c r="L114" i="6"/>
  <c r="D114" i="6"/>
  <c r="O54" i="8" s="1"/>
  <c r="L62" i="5" l="1"/>
  <c r="L55" i="5"/>
  <c r="E71" i="14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E16" i="14"/>
  <c r="E17" i="14"/>
  <c r="E18" i="14"/>
  <c r="E19" i="14"/>
  <c r="E20" i="14"/>
  <c r="E21" i="14"/>
  <c r="E22" i="14"/>
  <c r="E23" i="14"/>
  <c r="E24" i="14"/>
  <c r="E25" i="14"/>
  <c r="E26" i="14"/>
  <c r="E27" i="14"/>
  <c r="E28" i="14"/>
  <c r="E29" i="14"/>
  <c r="E30" i="14"/>
  <c r="E31" i="14"/>
  <c r="E32" i="14"/>
  <c r="E33" i="14"/>
  <c r="E34" i="14"/>
  <c r="E35" i="14"/>
  <c r="E36" i="14"/>
  <c r="E37" i="14"/>
  <c r="E38" i="14"/>
  <c r="L9" i="4" s="1"/>
  <c r="E39" i="14"/>
  <c r="E40" i="14"/>
  <c r="E41" i="14"/>
  <c r="E42" i="14"/>
  <c r="E43" i="14"/>
  <c r="E44" i="14"/>
  <c r="E45" i="14"/>
  <c r="E46" i="14"/>
  <c r="E47" i="14"/>
  <c r="E48" i="14"/>
  <c r="E49" i="14"/>
  <c r="E50" i="14"/>
  <c r="L9" i="5" s="1"/>
  <c r="E51" i="14"/>
  <c r="E52" i="14"/>
  <c r="E53" i="14"/>
  <c r="E54" i="14"/>
  <c r="E55" i="14"/>
  <c r="E56" i="14"/>
  <c r="E57" i="14"/>
  <c r="E58" i="14"/>
  <c r="E59" i="14"/>
  <c r="E60" i="14"/>
  <c r="E61" i="14"/>
  <c r="E62" i="14"/>
  <c r="E63" i="14"/>
  <c r="E64" i="14"/>
  <c r="E65" i="14"/>
  <c r="E66" i="14"/>
  <c r="E67" i="14"/>
  <c r="E68" i="14"/>
  <c r="E69" i="14"/>
  <c r="E70" i="14"/>
  <c r="E72" i="14"/>
  <c r="E73" i="14"/>
  <c r="E74" i="14"/>
  <c r="E75" i="14"/>
  <c r="E76" i="14"/>
  <c r="E77" i="14"/>
  <c r="E78" i="14"/>
  <c r="E79" i="14"/>
  <c r="E80" i="14"/>
  <c r="E81" i="14"/>
  <c r="E82" i="14"/>
  <c r="E83" i="14"/>
  <c r="E84" i="14"/>
  <c r="E85" i="14"/>
  <c r="E86" i="14"/>
  <c r="E87" i="14"/>
  <c r="E88" i="14"/>
  <c r="E89" i="14"/>
  <c r="E90" i="14"/>
  <c r="E91" i="14"/>
  <c r="E92" i="14"/>
  <c r="E93" i="14"/>
  <c r="E94" i="14"/>
  <c r="L16" i="3" s="1"/>
  <c r="E95" i="14"/>
  <c r="E96" i="14"/>
  <c r="E97" i="14"/>
  <c r="E98" i="14"/>
  <c r="E99" i="14"/>
  <c r="E100" i="14"/>
  <c r="E101" i="14"/>
  <c r="E102" i="14"/>
  <c r="E103" i="14"/>
  <c r="E104" i="14"/>
  <c r="E105" i="14"/>
  <c r="E106" i="14"/>
  <c r="E107" i="14"/>
  <c r="E108" i="14"/>
  <c r="E109" i="14"/>
  <c r="E110" i="14"/>
  <c r="E111" i="14"/>
  <c r="E112" i="14"/>
  <c r="E113" i="14"/>
  <c r="E114" i="14"/>
  <c r="E115" i="14"/>
  <c r="E116" i="14"/>
  <c r="E117" i="14"/>
  <c r="E118" i="14"/>
  <c r="E119" i="14"/>
  <c r="E120" i="14"/>
  <c r="E121" i="14"/>
  <c r="E122" i="14"/>
  <c r="E123" i="14"/>
  <c r="E124" i="14"/>
  <c r="E125" i="14"/>
  <c r="E126" i="14"/>
  <c r="E127" i="14"/>
  <c r="E128" i="14"/>
  <c r="L30" i="7" s="1"/>
  <c r="E129" i="14"/>
  <c r="E130" i="14"/>
  <c r="E131" i="14"/>
  <c r="E132" i="14"/>
  <c r="E133" i="14"/>
  <c r="E134" i="14"/>
  <c r="E135" i="14"/>
  <c r="E136" i="14"/>
  <c r="E137" i="14"/>
  <c r="E138" i="14"/>
  <c r="E139" i="14"/>
  <c r="E140" i="14"/>
  <c r="E141" i="14"/>
  <c r="E142" i="14"/>
  <c r="E143" i="14"/>
  <c r="E144" i="14"/>
  <c r="E145" i="14"/>
  <c r="E146" i="14"/>
  <c r="L29" i="4" s="1"/>
  <c r="E147" i="14"/>
  <c r="E148" i="14"/>
  <c r="E149" i="14"/>
  <c r="E150" i="14"/>
  <c r="E151" i="14"/>
  <c r="E152" i="14"/>
  <c r="E153" i="14"/>
  <c r="E154" i="14"/>
  <c r="E155" i="14"/>
  <c r="E156" i="14"/>
  <c r="E157" i="14"/>
  <c r="E158" i="14"/>
  <c r="E159" i="14"/>
  <c r="E160" i="14"/>
  <c r="E161" i="14"/>
  <c r="E162" i="14"/>
  <c r="L35" i="7" s="1"/>
  <c r="E163" i="14"/>
  <c r="E164" i="14"/>
  <c r="E165" i="14"/>
  <c r="E166" i="14"/>
  <c r="E167" i="14"/>
  <c r="E168" i="14"/>
  <c r="E169" i="14"/>
  <c r="E170" i="14"/>
  <c r="L36" i="6" s="1"/>
  <c r="E171" i="14"/>
  <c r="E172" i="14"/>
  <c r="L40" i="7" s="1"/>
  <c r="E173" i="14"/>
  <c r="E174" i="14"/>
  <c r="L45" i="7" s="1"/>
  <c r="E175" i="14"/>
  <c r="E176" i="14"/>
  <c r="L102" i="4" s="1"/>
  <c r="E177" i="14"/>
  <c r="E178" i="14"/>
  <c r="E179" i="14"/>
  <c r="E180" i="14"/>
  <c r="E181" i="14"/>
  <c r="E182" i="14"/>
  <c r="E183" i="14"/>
  <c r="E184" i="14"/>
  <c r="E185" i="14"/>
  <c r="E186" i="14"/>
  <c r="E187" i="14"/>
  <c r="E188" i="14"/>
  <c r="E189" i="14"/>
  <c r="E190" i="14"/>
  <c r="E191" i="14"/>
  <c r="E192" i="14"/>
  <c r="E193" i="14"/>
  <c r="E194" i="14"/>
  <c r="E195" i="14"/>
  <c r="E196" i="14"/>
  <c r="E197" i="14"/>
  <c r="E198" i="14"/>
  <c r="L83" i="5" s="1"/>
  <c r="E199" i="14"/>
  <c r="E2" i="14"/>
  <c r="L97" i="7" l="1"/>
  <c r="L99" i="7"/>
  <c r="L98" i="7"/>
  <c r="L18" i="7"/>
  <c r="L76" i="6"/>
  <c r="L70" i="6"/>
  <c r="L64" i="6"/>
  <c r="L9" i="6"/>
  <c r="L23" i="6"/>
  <c r="L77" i="5"/>
  <c r="L70" i="5"/>
  <c r="L49" i="5"/>
  <c r="L108" i="5" s="1"/>
  <c r="L111" i="5" s="1"/>
  <c r="L24" i="5"/>
  <c r="L16" i="4"/>
  <c r="L88" i="4"/>
  <c r="L23" i="4"/>
  <c r="L109" i="4" l="1"/>
  <c r="L142" i="6" s="1"/>
  <c r="L104" i="4"/>
  <c r="L144" i="6"/>
  <c r="D9" i="8" l="1"/>
  <c r="D7" i="8"/>
  <c r="E8" i="3"/>
  <c r="E15" i="3"/>
  <c r="D5" i="8" l="1"/>
  <c r="B10" i="3"/>
  <c r="A10" i="3"/>
  <c r="E10" i="3"/>
  <c r="E27" i="4"/>
  <c r="G28" i="9"/>
  <c r="G29" i="9" s="1"/>
  <c r="E81" i="5"/>
  <c r="E74" i="5"/>
  <c r="F41" i="1"/>
  <c r="H41" i="1"/>
  <c r="I41" i="1"/>
  <c r="J41" i="1"/>
  <c r="K41" i="1"/>
  <c r="L41" i="1"/>
  <c r="F40" i="1"/>
  <c r="I40" i="1"/>
  <c r="J40" i="1"/>
  <c r="K40" i="1"/>
  <c r="L40" i="1"/>
  <c r="D41" i="1"/>
  <c r="D40" i="1"/>
  <c r="F18" i="1"/>
  <c r="H18" i="1"/>
  <c r="I18" i="1"/>
  <c r="J18" i="1"/>
  <c r="K18" i="1"/>
  <c r="F11" i="1"/>
  <c r="I11" i="1"/>
  <c r="J11" i="1"/>
  <c r="K11" i="1"/>
  <c r="K41" i="6"/>
  <c r="L41" i="6"/>
  <c r="L51" i="4" l="1"/>
  <c r="E92" i="4"/>
  <c r="B92" i="4"/>
  <c r="A92" i="4"/>
  <c r="L61" i="4"/>
  <c r="E84" i="4"/>
  <c r="L106" i="4" l="1"/>
  <c r="A9" i="3" l="1"/>
  <c r="E9" i="3"/>
  <c r="E111" i="6"/>
  <c r="B44" i="7" l="1"/>
  <c r="B39" i="7"/>
  <c r="I12" i="2"/>
  <c r="B81" i="5"/>
  <c r="A81" i="5"/>
  <c r="F84" i="6"/>
  <c r="H84" i="6"/>
  <c r="I84" i="6"/>
  <c r="J84" i="6"/>
  <c r="K84" i="6"/>
  <c r="L84" i="6"/>
  <c r="F64" i="6"/>
  <c r="H64" i="6"/>
  <c r="I64" i="6"/>
  <c r="J64" i="6"/>
  <c r="K64" i="6"/>
  <c r="F48" i="6"/>
  <c r="H48" i="6"/>
  <c r="K48" i="6"/>
  <c r="L48" i="6"/>
  <c r="F31" i="6"/>
  <c r="H31" i="6"/>
  <c r="I31" i="6"/>
  <c r="J31" i="6"/>
  <c r="K31" i="6"/>
  <c r="L31" i="6"/>
  <c r="F23" i="6"/>
  <c r="H23" i="6"/>
  <c r="F16" i="6"/>
  <c r="H16" i="6"/>
  <c r="I16" i="6"/>
  <c r="L16" i="6"/>
  <c r="F9" i="6"/>
  <c r="H9" i="6"/>
  <c r="S99" i="11"/>
  <c r="S98" i="11"/>
  <c r="S96" i="11"/>
  <c r="S97" i="11"/>
  <c r="B47" i="6"/>
  <c r="B46" i="6"/>
  <c r="B35" i="6"/>
  <c r="B40" i="6"/>
  <c r="D48" i="6"/>
  <c r="H54" i="8" s="1"/>
  <c r="E40" i="6"/>
  <c r="F36" i="6"/>
  <c r="D36" i="6"/>
  <c r="F54" i="8" s="1"/>
  <c r="K36" i="6"/>
  <c r="J36" i="6"/>
  <c r="I36" i="6"/>
  <c r="E35" i="6"/>
  <c r="E36" i="6" s="1"/>
  <c r="E28" i="6"/>
  <c r="E29" i="6"/>
  <c r="B29" i="6"/>
  <c r="B30" i="6"/>
  <c r="B28" i="6"/>
  <c r="B27" i="6"/>
  <c r="B22" i="6"/>
  <c r="B21" i="6"/>
  <c r="B20" i="6"/>
  <c r="B14" i="6"/>
  <c r="B15" i="6"/>
  <c r="B13" i="6"/>
  <c r="B8" i="6"/>
  <c r="B7" i="6"/>
  <c r="B75" i="5"/>
  <c r="B74" i="5"/>
  <c r="A75" i="5"/>
  <c r="A74" i="5"/>
  <c r="B68" i="5"/>
  <c r="B67" i="5"/>
  <c r="A68" i="5"/>
  <c r="A67" i="5"/>
  <c r="B32" i="5"/>
  <c r="B33" i="5"/>
  <c r="B40" i="5"/>
  <c r="B41" i="5"/>
  <c r="B48" i="5"/>
  <c r="B29" i="5"/>
  <c r="A32" i="5"/>
  <c r="A33" i="5"/>
  <c r="A34" i="5"/>
  <c r="A35" i="5"/>
  <c r="A36" i="5"/>
  <c r="A37" i="5"/>
  <c r="A40" i="5"/>
  <c r="A41" i="5"/>
  <c r="A48" i="5"/>
  <c r="A29" i="5"/>
  <c r="B21" i="5"/>
  <c r="B22" i="5"/>
  <c r="B20" i="5"/>
  <c r="B19" i="5"/>
  <c r="B18" i="5"/>
  <c r="B17" i="5"/>
  <c r="B14" i="5"/>
  <c r="B15" i="5"/>
  <c r="B16" i="5"/>
  <c r="B13" i="5"/>
  <c r="A21" i="5"/>
  <c r="A22" i="5"/>
  <c r="A20" i="5"/>
  <c r="A19" i="5"/>
  <c r="A18" i="5"/>
  <c r="A17" i="5"/>
  <c r="A14" i="5"/>
  <c r="A15" i="5"/>
  <c r="A16" i="5"/>
  <c r="A13" i="5"/>
  <c r="B7" i="5"/>
  <c r="A7" i="5"/>
  <c r="B27" i="4"/>
  <c r="A27" i="4"/>
  <c r="B21" i="4"/>
  <c r="A21" i="4"/>
  <c r="B20" i="4"/>
  <c r="A20" i="4"/>
  <c r="B14" i="4"/>
  <c r="B13" i="4"/>
  <c r="A14" i="4"/>
  <c r="A13" i="4"/>
  <c r="B7" i="4"/>
  <c r="A7" i="4"/>
  <c r="I16" i="2" l="1"/>
  <c r="I18" i="2"/>
  <c r="I15" i="2" l="1"/>
  <c r="I140" i="6"/>
  <c r="A44" i="7" l="1"/>
  <c r="A39" i="7"/>
  <c r="B34" i="7"/>
  <c r="A34" i="7"/>
  <c r="B29" i="7"/>
  <c r="A29" i="7"/>
  <c r="B24" i="7"/>
  <c r="A24" i="7"/>
  <c r="B23" i="7"/>
  <c r="B22" i="7"/>
  <c r="A23" i="7"/>
  <c r="A22" i="7"/>
  <c r="B15" i="7"/>
  <c r="B16" i="7"/>
  <c r="B14" i="7"/>
  <c r="B13" i="7"/>
  <c r="B12" i="7"/>
  <c r="B11" i="7"/>
  <c r="B10" i="7"/>
  <c r="B8" i="7"/>
  <c r="B9" i="7"/>
  <c r="B7" i="7"/>
  <c r="A15" i="7"/>
  <c r="A16" i="7"/>
  <c r="A14" i="7"/>
  <c r="A13" i="7"/>
  <c r="A12" i="7"/>
  <c r="A11" i="7"/>
  <c r="A10" i="7"/>
  <c r="A8" i="7"/>
  <c r="A9" i="7"/>
  <c r="A7" i="7"/>
  <c r="E24" i="7" l="1"/>
  <c r="B81" i="6"/>
  <c r="B82" i="6"/>
  <c r="B83" i="6"/>
  <c r="B80" i="6"/>
  <c r="B75" i="6"/>
  <c r="B74" i="6"/>
  <c r="B69" i="6"/>
  <c r="B68" i="6"/>
  <c r="B63" i="6"/>
  <c r="B62" i="6"/>
  <c r="J48" i="6"/>
  <c r="E47" i="6"/>
  <c r="E46" i="6"/>
  <c r="E21" i="6"/>
  <c r="D16" i="6"/>
  <c r="P108" i="5"/>
  <c r="E75" i="5"/>
  <c r="E14" i="5"/>
  <c r="E15" i="5"/>
  <c r="E16" i="5"/>
  <c r="E17" i="5"/>
  <c r="E18" i="5"/>
  <c r="E19" i="5"/>
  <c r="E20" i="5"/>
  <c r="E21" i="5"/>
  <c r="E22" i="5"/>
  <c r="B15" i="3"/>
  <c r="A15" i="3"/>
  <c r="B8" i="3"/>
  <c r="A8" i="3"/>
  <c r="B100" i="4"/>
  <c r="A100" i="4"/>
  <c r="B94" i="4"/>
  <c r="B93" i="4"/>
  <c r="A93" i="4"/>
  <c r="A94" i="4"/>
  <c r="A82" i="4"/>
  <c r="A83" i="4"/>
  <c r="A85" i="4"/>
  <c r="A86" i="4"/>
  <c r="B82" i="4"/>
  <c r="B83" i="4"/>
  <c r="B85" i="4"/>
  <c r="B86" i="4"/>
  <c r="B81" i="4"/>
  <c r="A81" i="4"/>
  <c r="C54" i="8" l="1"/>
  <c r="E48" i="6"/>
  <c r="E20" i="6"/>
  <c r="E82" i="4"/>
  <c r="E83" i="4"/>
  <c r="E85" i="4"/>
  <c r="E86" i="4"/>
  <c r="E81" i="4"/>
  <c r="A22" i="1"/>
  <c r="A16" i="1"/>
  <c r="A15" i="1"/>
  <c r="A9" i="1"/>
  <c r="A8" i="1"/>
  <c r="A9" i="2"/>
  <c r="L2" i="11"/>
  <c r="L94" i="11"/>
  <c r="L96" i="11"/>
  <c r="S54" i="11"/>
  <c r="S51" i="11"/>
  <c r="S50" i="11"/>
  <c r="S101" i="11" s="1"/>
  <c r="G2" i="11"/>
  <c r="M2" i="11" l="1"/>
  <c r="D18" i="7" l="1"/>
  <c r="I77" i="7"/>
  <c r="I155" i="6"/>
  <c r="I9" i="6"/>
  <c r="L96" i="7" l="1"/>
  <c r="L102" i="7" s="1"/>
  <c r="L146" i="6" s="1"/>
  <c r="J76" i="6"/>
  <c r="J70" i="6"/>
  <c r="J41" i="6"/>
  <c r="H33" i="13"/>
  <c r="H32" i="13"/>
  <c r="H31" i="13"/>
  <c r="J9" i="6" s="1"/>
  <c r="H30" i="13"/>
  <c r="H29" i="13"/>
  <c r="H28" i="13"/>
  <c r="H27" i="13"/>
  <c r="H26" i="13"/>
  <c r="H19" i="13"/>
  <c r="H18" i="13"/>
  <c r="H17" i="13"/>
  <c r="H16" i="13"/>
  <c r="H15" i="13"/>
  <c r="J23" i="6" s="1"/>
  <c r="H14" i="13"/>
  <c r="H13" i="13"/>
  <c r="H12" i="13"/>
  <c r="H11" i="13"/>
  <c r="H10" i="13"/>
  <c r="H9" i="13"/>
  <c r="J133" i="6" l="1"/>
  <c r="J16" i="6"/>
  <c r="J126" i="6" s="1"/>
  <c r="E83" i="5"/>
  <c r="E75" i="6"/>
  <c r="E74" i="6"/>
  <c r="I32" i="8"/>
  <c r="H32" i="8"/>
  <c r="E32" i="8"/>
  <c r="C32" i="8"/>
  <c r="H83" i="5"/>
  <c r="O96" i="11"/>
  <c r="O94" i="11"/>
  <c r="L45" i="8"/>
  <c r="L49" i="8" s="1"/>
  <c r="L43" i="8"/>
  <c r="K83" i="5"/>
  <c r="J83" i="5"/>
  <c r="I83" i="5"/>
  <c r="F83" i="5"/>
  <c r="D83" i="5"/>
  <c r="E69" i="6"/>
  <c r="E63" i="6"/>
  <c r="F26" i="8"/>
  <c r="E26" i="8"/>
  <c r="D26" i="8"/>
  <c r="C26" i="8"/>
  <c r="J43" i="8"/>
  <c r="I43" i="8"/>
  <c r="G43" i="8"/>
  <c r="F43" i="8"/>
  <c r="E43" i="8"/>
  <c r="D43" i="8"/>
  <c r="C43" i="8"/>
  <c r="E52" i="8"/>
  <c r="F57" i="8"/>
  <c r="E57" i="8"/>
  <c r="D57" i="8"/>
  <c r="C57" i="8"/>
  <c r="C66" i="8"/>
  <c r="M62" i="8"/>
  <c r="L62" i="8"/>
  <c r="K62" i="8"/>
  <c r="J62" i="8"/>
  <c r="I62" i="8"/>
  <c r="H62" i="8"/>
  <c r="G62" i="8"/>
  <c r="F62" i="8"/>
  <c r="C14" i="8"/>
  <c r="F3" i="8"/>
  <c r="E3" i="8"/>
  <c r="D3" i="8"/>
  <c r="C3" i="8"/>
  <c r="D22" i="6"/>
  <c r="E59" i="8" s="1"/>
  <c r="E16" i="6"/>
  <c r="O90" i="11"/>
  <c r="O91" i="11"/>
  <c r="O92" i="11"/>
  <c r="O93" i="11"/>
  <c r="O95" i="11"/>
  <c r="O97" i="11"/>
  <c r="O98" i="11"/>
  <c r="O99" i="11"/>
  <c r="O100" i="11"/>
  <c r="J153" i="6" l="1"/>
  <c r="J145" i="6" s="1"/>
  <c r="D23" i="6"/>
  <c r="E30" i="6"/>
  <c r="D31" i="6"/>
  <c r="J135" i="6"/>
  <c r="D9" i="6"/>
  <c r="B7" i="8"/>
  <c r="L47" i="8"/>
  <c r="C64" i="8"/>
  <c r="B9" i="8"/>
  <c r="J154" i="6" l="1"/>
  <c r="D59" i="8"/>
  <c r="D84" i="6"/>
  <c r="M54" i="8" s="1"/>
  <c r="K76" i="6"/>
  <c r="I76" i="6"/>
  <c r="H76" i="6"/>
  <c r="F76" i="6"/>
  <c r="D76" i="6"/>
  <c r="L54" i="8" s="1"/>
  <c r="E76" i="6"/>
  <c r="K70" i="6"/>
  <c r="I70" i="6"/>
  <c r="H70" i="6"/>
  <c r="F70" i="6"/>
  <c r="D70" i="6"/>
  <c r="K54" i="8" s="1"/>
  <c r="E68" i="6"/>
  <c r="E70" i="6" s="1"/>
  <c r="D64" i="6"/>
  <c r="J54" i="8" s="1"/>
  <c r="E62" i="6"/>
  <c r="E64" i="6" s="1"/>
  <c r="O73" i="11"/>
  <c r="M73" i="11"/>
  <c r="G73" i="11"/>
  <c r="O72" i="11"/>
  <c r="M72" i="11"/>
  <c r="G72" i="11"/>
  <c r="O71" i="11"/>
  <c r="M71" i="11"/>
  <c r="G71" i="11"/>
  <c r="Q82" i="11"/>
  <c r="O82" i="11"/>
  <c r="M82" i="11"/>
  <c r="G82" i="11"/>
  <c r="Q81" i="11"/>
  <c r="O81" i="11"/>
  <c r="M81" i="11"/>
  <c r="G81" i="11"/>
  <c r="O56" i="11"/>
  <c r="M56" i="11"/>
  <c r="G56" i="11"/>
  <c r="O55" i="11"/>
  <c r="M55" i="11"/>
  <c r="G55" i="11"/>
  <c r="O54" i="11"/>
  <c r="M54" i="11"/>
  <c r="G54" i="11"/>
  <c r="Q86" i="11"/>
  <c r="O86" i="11"/>
  <c r="M86" i="11"/>
  <c r="G86" i="11"/>
  <c r="Q42" i="11"/>
  <c r="O42" i="11"/>
  <c r="M42" i="11"/>
  <c r="G42" i="11"/>
  <c r="Q41" i="11"/>
  <c r="O41" i="11"/>
  <c r="M41" i="11"/>
  <c r="G41" i="11"/>
  <c r="Q40" i="11"/>
  <c r="O40" i="11"/>
  <c r="M40" i="11"/>
  <c r="G40" i="11"/>
  <c r="Q39" i="11"/>
  <c r="O39" i="11"/>
  <c r="M39" i="11"/>
  <c r="G39" i="11"/>
  <c r="Q28" i="11"/>
  <c r="O28" i="11"/>
  <c r="M28" i="11"/>
  <c r="G28" i="11"/>
  <c r="Q27" i="11"/>
  <c r="O27" i="11"/>
  <c r="M27" i="11"/>
  <c r="G27" i="11"/>
  <c r="Q26" i="11"/>
  <c r="O26" i="11"/>
  <c r="M26" i="11"/>
  <c r="G26" i="11"/>
  <c r="Q25" i="11"/>
  <c r="O25" i="11"/>
  <c r="M25" i="11"/>
  <c r="G25" i="11"/>
  <c r="Q24" i="11"/>
  <c r="O24" i="11"/>
  <c r="M24" i="11"/>
  <c r="G24" i="11"/>
  <c r="Q79" i="11"/>
  <c r="O79" i="11"/>
  <c r="M79" i="11"/>
  <c r="G79" i="11"/>
  <c r="Q78" i="11"/>
  <c r="O78" i="11"/>
  <c r="M78" i="11"/>
  <c r="G78" i="11"/>
  <c r="Q77" i="11"/>
  <c r="O77" i="11"/>
  <c r="M77" i="11"/>
  <c r="G77" i="11"/>
  <c r="Q23" i="11"/>
  <c r="O23" i="11"/>
  <c r="M23" i="11"/>
  <c r="G23" i="11"/>
  <c r="Q22" i="11"/>
  <c r="O22" i="11"/>
  <c r="M22" i="11"/>
  <c r="G22" i="11"/>
  <c r="Q21" i="11"/>
  <c r="O21" i="11"/>
  <c r="M21" i="11"/>
  <c r="G21" i="11"/>
  <c r="Q20" i="11"/>
  <c r="O20" i="11"/>
  <c r="M20" i="11"/>
  <c r="G20" i="11"/>
  <c r="Q8" i="11"/>
  <c r="O8" i="11"/>
  <c r="M8" i="11"/>
  <c r="G8" i="11"/>
  <c r="O53" i="11"/>
  <c r="M53" i="11"/>
  <c r="G53" i="11"/>
  <c r="O52" i="11"/>
  <c r="M52" i="11"/>
  <c r="G52" i="11"/>
  <c r="Q48" i="11"/>
  <c r="O48" i="11"/>
  <c r="M48" i="11"/>
  <c r="G48" i="11"/>
  <c r="Q47" i="11"/>
  <c r="O47" i="11"/>
  <c r="M47" i="11"/>
  <c r="G47" i="11"/>
  <c r="Q46" i="11"/>
  <c r="O46" i="11"/>
  <c r="M46" i="11"/>
  <c r="G46" i="11"/>
  <c r="Q19" i="11"/>
  <c r="O19" i="11"/>
  <c r="M19" i="11"/>
  <c r="G19" i="11"/>
  <c r="Q18" i="11"/>
  <c r="O18" i="11"/>
  <c r="M18" i="11"/>
  <c r="G18" i="11"/>
  <c r="Q17" i="11"/>
  <c r="O17" i="11"/>
  <c r="M17" i="11"/>
  <c r="G17" i="11"/>
  <c r="Q16" i="11"/>
  <c r="K9" i="6" s="1"/>
  <c r="O16" i="11"/>
  <c r="M16" i="11"/>
  <c r="G16" i="11"/>
  <c r="O70" i="11"/>
  <c r="M70" i="11"/>
  <c r="G70" i="11"/>
  <c r="Q80" i="11"/>
  <c r="O80" i="11"/>
  <c r="M80" i="11"/>
  <c r="G80" i="11"/>
  <c r="Q38" i="11"/>
  <c r="O38" i="11"/>
  <c r="M38" i="11"/>
  <c r="G38" i="11"/>
  <c r="O69" i="11"/>
  <c r="M69" i="11"/>
  <c r="G69" i="11"/>
  <c r="O74" i="11"/>
  <c r="M74" i="11"/>
  <c r="G74" i="11"/>
  <c r="Q87" i="11"/>
  <c r="O87" i="11"/>
  <c r="M87" i="11"/>
  <c r="G87" i="11"/>
  <c r="O68" i="11"/>
  <c r="M68" i="11"/>
  <c r="G68" i="11"/>
  <c r="O67" i="11"/>
  <c r="M67" i="11"/>
  <c r="G67" i="11"/>
  <c r="O66" i="11"/>
  <c r="M66" i="11"/>
  <c r="G66" i="11"/>
  <c r="O65" i="11"/>
  <c r="M65" i="11"/>
  <c r="G65" i="11"/>
  <c r="O76" i="11"/>
  <c r="M76" i="11"/>
  <c r="G76" i="11"/>
  <c r="Q83" i="11"/>
  <c r="O83" i="11"/>
  <c r="M83" i="11"/>
  <c r="G83" i="11"/>
  <c r="Q85" i="11"/>
  <c r="O85" i="11"/>
  <c r="M85" i="11"/>
  <c r="G85" i="11"/>
  <c r="Q84" i="11"/>
  <c r="O84" i="11"/>
  <c r="M84" i="11"/>
  <c r="G84" i="11"/>
  <c r="O64" i="11"/>
  <c r="M64" i="11"/>
  <c r="G64" i="11"/>
  <c r="O63" i="11"/>
  <c r="M63" i="11"/>
  <c r="G63" i="11"/>
  <c r="O62" i="11"/>
  <c r="M62" i="11"/>
  <c r="G62" i="11"/>
  <c r="O61" i="11"/>
  <c r="M61" i="11"/>
  <c r="G61" i="11"/>
  <c r="O60" i="11"/>
  <c r="M60" i="11"/>
  <c r="G60" i="11"/>
  <c r="O75" i="11"/>
  <c r="M75" i="11"/>
  <c r="G75" i="11"/>
  <c r="Q49" i="11"/>
  <c r="O49" i="11"/>
  <c r="M49" i="11"/>
  <c r="G49" i="11"/>
  <c r="Q45" i="11"/>
  <c r="O45" i="11"/>
  <c r="M45" i="11"/>
  <c r="G45" i="11"/>
  <c r="Q89" i="11"/>
  <c r="O89" i="11"/>
  <c r="M89" i="11"/>
  <c r="G89" i="11"/>
  <c r="Q88" i="11"/>
  <c r="O88" i="11"/>
  <c r="M88" i="11"/>
  <c r="G88" i="11"/>
  <c r="O59" i="11"/>
  <c r="M59" i="11"/>
  <c r="G59" i="11"/>
  <c r="O58" i="11"/>
  <c r="M58" i="11"/>
  <c r="G58" i="11"/>
  <c r="O57" i="11"/>
  <c r="M57" i="11"/>
  <c r="G57" i="11"/>
  <c r="Q51" i="11"/>
  <c r="O51" i="11"/>
  <c r="M51" i="11"/>
  <c r="G51" i="11"/>
  <c r="Q50" i="11"/>
  <c r="O50" i="11"/>
  <c r="M50" i="11"/>
  <c r="G50" i="11"/>
  <c r="Q2" i="11"/>
  <c r="O2" i="11"/>
  <c r="Q37" i="11"/>
  <c r="O37" i="11"/>
  <c r="M37" i="11"/>
  <c r="G37" i="11"/>
  <c r="Q36" i="11"/>
  <c r="O36" i="11"/>
  <c r="M36" i="11"/>
  <c r="G36" i="11"/>
  <c r="Q35" i="11"/>
  <c r="O35" i="11"/>
  <c r="M35" i="11"/>
  <c r="G35" i="11"/>
  <c r="Q34" i="11"/>
  <c r="O34" i="11"/>
  <c r="M34" i="11"/>
  <c r="G34" i="11"/>
  <c r="Q33" i="11"/>
  <c r="O33" i="11"/>
  <c r="M33" i="11"/>
  <c r="G33" i="11"/>
  <c r="Q32" i="11"/>
  <c r="O32" i="11"/>
  <c r="M32" i="11"/>
  <c r="G32" i="11"/>
  <c r="Q31" i="11"/>
  <c r="O31" i="11"/>
  <c r="M31" i="11"/>
  <c r="G31" i="11"/>
  <c r="Q30" i="11"/>
  <c r="O30" i="11"/>
  <c r="M30" i="11"/>
  <c r="G30" i="11"/>
  <c r="Q29" i="11"/>
  <c r="O29" i="11"/>
  <c r="M29" i="11"/>
  <c r="G29" i="11"/>
  <c r="Q15" i="11"/>
  <c r="O15" i="11"/>
  <c r="M15" i="11"/>
  <c r="G15" i="11"/>
  <c r="Q44" i="11"/>
  <c r="O44" i="11"/>
  <c r="M44" i="11"/>
  <c r="G44" i="11"/>
  <c r="Q7" i="11"/>
  <c r="O7" i="11"/>
  <c r="M7" i="11"/>
  <c r="G7" i="11"/>
  <c r="Q14" i="11"/>
  <c r="O14" i="11"/>
  <c r="M14" i="11"/>
  <c r="G14" i="11"/>
  <c r="Q13" i="11"/>
  <c r="O13" i="11"/>
  <c r="M13" i="11"/>
  <c r="G13" i="11"/>
  <c r="Q12" i="11"/>
  <c r="O12" i="11"/>
  <c r="M12" i="11"/>
  <c r="G12" i="11"/>
  <c r="Q11" i="11"/>
  <c r="O11" i="11"/>
  <c r="M11" i="11"/>
  <c r="G11" i="11"/>
  <c r="Q10" i="11"/>
  <c r="O10" i="11"/>
  <c r="M10" i="11"/>
  <c r="G10" i="11"/>
  <c r="Q9" i="11"/>
  <c r="O9" i="11"/>
  <c r="M9" i="11"/>
  <c r="G9" i="11"/>
  <c r="Q43" i="11"/>
  <c r="O43" i="11"/>
  <c r="M43" i="11"/>
  <c r="G43" i="11"/>
  <c r="Q6" i="11"/>
  <c r="O6" i="11"/>
  <c r="M6" i="11"/>
  <c r="G6" i="11"/>
  <c r="Q5" i="11"/>
  <c r="O5" i="11"/>
  <c r="M5" i="11"/>
  <c r="G5" i="11"/>
  <c r="Q4" i="11"/>
  <c r="O4" i="11"/>
  <c r="M4" i="11"/>
  <c r="G4" i="11"/>
  <c r="M3" i="11"/>
  <c r="G3" i="11"/>
  <c r="I48" i="6" l="1"/>
  <c r="K24" i="5"/>
  <c r="K23" i="6"/>
  <c r="I23" i="6"/>
  <c r="E84" i="6"/>
  <c r="E44" i="7"/>
  <c r="D45" i="7"/>
  <c r="H66" i="8" s="1"/>
  <c r="H64" i="8" s="1"/>
  <c r="F45" i="7"/>
  <c r="H45" i="7"/>
  <c r="I45" i="7"/>
  <c r="J45" i="7"/>
  <c r="K45" i="7"/>
  <c r="K40" i="7"/>
  <c r="J40" i="7"/>
  <c r="I40" i="7"/>
  <c r="H40" i="7"/>
  <c r="F40" i="7"/>
  <c r="D40" i="7"/>
  <c r="G70" i="8" s="1"/>
  <c r="E39" i="7"/>
  <c r="E40" i="7" s="1"/>
  <c r="K35" i="7"/>
  <c r="J35" i="7"/>
  <c r="I35" i="7"/>
  <c r="H35" i="7"/>
  <c r="F35" i="7"/>
  <c r="D35" i="7"/>
  <c r="F66" i="8" s="1"/>
  <c r="E34" i="7"/>
  <c r="E8" i="7"/>
  <c r="E9" i="7"/>
  <c r="E10" i="7"/>
  <c r="E11" i="7"/>
  <c r="E12" i="7"/>
  <c r="E13" i="7"/>
  <c r="E14" i="7"/>
  <c r="K102" i="4"/>
  <c r="J102" i="4"/>
  <c r="I102" i="4"/>
  <c r="H102" i="4"/>
  <c r="F102" i="4"/>
  <c r="D102" i="4"/>
  <c r="I34" i="8" s="1"/>
  <c r="E100" i="4"/>
  <c r="E14" i="4"/>
  <c r="E7" i="4"/>
  <c r="E98" i="7" l="1"/>
  <c r="G64" i="8"/>
  <c r="I36" i="8"/>
  <c r="I38" i="8"/>
  <c r="I40" i="8"/>
  <c r="F64" i="8"/>
  <c r="E35" i="7"/>
  <c r="E45" i="7"/>
  <c r="E102" i="4"/>
  <c r="K23" i="4" l="1"/>
  <c r="J23" i="4"/>
  <c r="I23" i="4"/>
  <c r="H23" i="4"/>
  <c r="F23" i="4"/>
  <c r="D23" i="4"/>
  <c r="E28" i="8" s="1"/>
  <c r="E21" i="4"/>
  <c r="E20" i="4"/>
  <c r="K29" i="4"/>
  <c r="J29" i="4"/>
  <c r="I29" i="4"/>
  <c r="H29" i="4"/>
  <c r="F29" i="4"/>
  <c r="D29" i="4"/>
  <c r="F28" i="8" s="1"/>
  <c r="I77" i="5"/>
  <c r="K77" i="5"/>
  <c r="J77" i="5"/>
  <c r="H77" i="5"/>
  <c r="F77" i="5"/>
  <c r="D77" i="5"/>
  <c r="J45" i="8" s="1"/>
  <c r="O76" i="5"/>
  <c r="E77" i="5"/>
  <c r="J49" i="8" l="1"/>
  <c r="J47" i="8"/>
  <c r="E23" i="4"/>
  <c r="E29" i="4"/>
  <c r="E30" i="5"/>
  <c r="E32" i="5"/>
  <c r="E33" i="5"/>
  <c r="E34" i="5"/>
  <c r="E35" i="5"/>
  <c r="E36" i="5"/>
  <c r="E37" i="5"/>
  <c r="E39" i="5"/>
  <c r="E40" i="5"/>
  <c r="E41" i="5"/>
  <c r="E42" i="5"/>
  <c r="E48" i="5"/>
  <c r="K9" i="5"/>
  <c r="J9" i="5"/>
  <c r="I9" i="5"/>
  <c r="H9" i="5"/>
  <c r="F9" i="5"/>
  <c r="D9" i="5"/>
  <c r="E7" i="5"/>
  <c r="C45" i="8" l="1"/>
  <c r="C49" i="8" s="1"/>
  <c r="E9" i="5"/>
  <c r="C47" i="8" l="1"/>
  <c r="J24" i="1" l="1"/>
  <c r="G55" i="12"/>
  <c r="G2" i="12"/>
  <c r="D64" i="7"/>
  <c r="K66" i="8" s="1"/>
  <c r="K64" i="8" s="1"/>
  <c r="D30" i="7"/>
  <c r="E66" i="8" s="1"/>
  <c r="E64" i="8" s="1"/>
  <c r="D25" i="7"/>
  <c r="D104" i="6"/>
  <c r="N54" i="8" s="1"/>
  <c r="D70" i="5"/>
  <c r="I45" i="8" s="1"/>
  <c r="D49" i="5"/>
  <c r="D24" i="5"/>
  <c r="D77" i="4"/>
  <c r="D59" i="4"/>
  <c r="D61" i="4" s="1"/>
  <c r="F127" i="1"/>
  <c r="F122" i="2"/>
  <c r="F127" i="3"/>
  <c r="F154" i="5"/>
  <c r="F139" i="7"/>
  <c r="E101" i="6"/>
  <c r="E54" i="6"/>
  <c r="G32" i="12"/>
  <c r="F32" i="12"/>
  <c r="D32" i="12"/>
  <c r="G31" i="12"/>
  <c r="F31" i="12"/>
  <c r="D31" i="12"/>
  <c r="L3" i="7"/>
  <c r="L3" i="5"/>
  <c r="L3" i="6"/>
  <c r="L138" i="6" s="1"/>
  <c r="J16" i="4"/>
  <c r="L3" i="4"/>
  <c r="L3" i="2"/>
  <c r="L3" i="3" s="1"/>
  <c r="G33" i="12"/>
  <c r="H33" i="12"/>
  <c r="G34" i="12"/>
  <c r="H34" i="12"/>
  <c r="G35" i="12"/>
  <c r="H35" i="12"/>
  <c r="G36" i="12"/>
  <c r="H36" i="12"/>
  <c r="G37" i="12"/>
  <c r="H37" i="12"/>
  <c r="G38" i="12"/>
  <c r="H38" i="12"/>
  <c r="G39" i="12"/>
  <c r="H39" i="12"/>
  <c r="G40" i="12"/>
  <c r="H40" i="12"/>
  <c r="G41" i="12"/>
  <c r="H41" i="12"/>
  <c r="G42" i="12"/>
  <c r="H42" i="12"/>
  <c r="G43" i="12"/>
  <c r="H43" i="12"/>
  <c r="G44" i="12"/>
  <c r="H44" i="12"/>
  <c r="G45" i="12"/>
  <c r="H45" i="12"/>
  <c r="G46" i="12"/>
  <c r="H46" i="12"/>
  <c r="G47" i="12"/>
  <c r="H47" i="12"/>
  <c r="G48" i="12"/>
  <c r="H48" i="12"/>
  <c r="G49" i="12"/>
  <c r="H49" i="12"/>
  <c r="G50" i="12"/>
  <c r="H50" i="12"/>
  <c r="G51" i="12"/>
  <c r="H51" i="12"/>
  <c r="G52" i="12"/>
  <c r="H52" i="12"/>
  <c r="G53" i="12"/>
  <c r="H53" i="12"/>
  <c r="G54" i="12"/>
  <c r="H54" i="12"/>
  <c r="H55" i="12"/>
  <c r="G56" i="12"/>
  <c r="H56" i="12"/>
  <c r="G57" i="12"/>
  <c r="H57" i="12"/>
  <c r="G58" i="12"/>
  <c r="H58" i="12"/>
  <c r="G59" i="12"/>
  <c r="H59" i="12"/>
  <c r="G60" i="12"/>
  <c r="H60" i="12"/>
  <c r="G61" i="12"/>
  <c r="H61" i="12"/>
  <c r="G62" i="12"/>
  <c r="H62" i="12"/>
  <c r="G63" i="12"/>
  <c r="H63" i="12"/>
  <c r="G64" i="12"/>
  <c r="H64" i="12"/>
  <c r="G65" i="12"/>
  <c r="H65" i="12"/>
  <c r="G66" i="12"/>
  <c r="H66" i="12"/>
  <c r="G67" i="12"/>
  <c r="H67" i="12"/>
  <c r="G68" i="12"/>
  <c r="H68" i="12"/>
  <c r="G69" i="12"/>
  <c r="H69" i="12"/>
  <c r="G70" i="12"/>
  <c r="H70" i="12"/>
  <c r="G71" i="12"/>
  <c r="H71" i="12"/>
  <c r="G72" i="12"/>
  <c r="H72" i="12"/>
  <c r="G73" i="12"/>
  <c r="H73" i="12"/>
  <c r="G74" i="12"/>
  <c r="H74" i="12"/>
  <c r="G75" i="12"/>
  <c r="H75" i="12"/>
  <c r="G76" i="12"/>
  <c r="H76" i="12"/>
  <c r="G77" i="12"/>
  <c r="H77" i="12"/>
  <c r="G78" i="12"/>
  <c r="H78" i="12"/>
  <c r="G79" i="12"/>
  <c r="H79" i="12"/>
  <c r="G80" i="12"/>
  <c r="H80" i="12"/>
  <c r="G81" i="12"/>
  <c r="H81" i="12"/>
  <c r="G82" i="12"/>
  <c r="H82" i="12"/>
  <c r="G83" i="12"/>
  <c r="H83" i="12"/>
  <c r="G84" i="12"/>
  <c r="H84" i="12"/>
  <c r="G85" i="12"/>
  <c r="H85" i="12"/>
  <c r="G86" i="12"/>
  <c r="H86" i="12"/>
  <c r="G87" i="12"/>
  <c r="H87" i="12"/>
  <c r="G88" i="12"/>
  <c r="H88" i="12"/>
  <c r="G89" i="12"/>
  <c r="H89" i="12"/>
  <c r="G90" i="12"/>
  <c r="H90" i="12"/>
  <c r="G91" i="12"/>
  <c r="H91" i="12"/>
  <c r="G92" i="12"/>
  <c r="H92" i="12"/>
  <c r="G93" i="12"/>
  <c r="H93" i="12"/>
  <c r="H99" i="12"/>
  <c r="H98" i="12"/>
  <c r="E95" i="12"/>
  <c r="E101" i="12" s="1"/>
  <c r="C95" i="12"/>
  <c r="B95" i="12"/>
  <c r="D94" i="12"/>
  <c r="H94" i="12" s="1"/>
  <c r="G30" i="12"/>
  <c r="F30" i="12"/>
  <c r="D30" i="12"/>
  <c r="G29" i="12"/>
  <c r="F29" i="12"/>
  <c r="D29" i="12"/>
  <c r="G28" i="12"/>
  <c r="F28" i="12"/>
  <c r="D28" i="12"/>
  <c r="G27" i="12"/>
  <c r="F27" i="12"/>
  <c r="D27" i="12"/>
  <c r="G26" i="12"/>
  <c r="F26" i="12"/>
  <c r="D26" i="12"/>
  <c r="G25" i="12"/>
  <c r="F25" i="12"/>
  <c r="D25" i="12"/>
  <c r="G24" i="12"/>
  <c r="F24" i="12"/>
  <c r="D24" i="12"/>
  <c r="G23" i="12"/>
  <c r="F23" i="12"/>
  <c r="D23" i="12"/>
  <c r="G22" i="12"/>
  <c r="F22" i="12"/>
  <c r="D22" i="12"/>
  <c r="G21" i="12"/>
  <c r="F21" i="12"/>
  <c r="D21" i="12"/>
  <c r="G20" i="12"/>
  <c r="F20" i="12"/>
  <c r="D20" i="12"/>
  <c r="G19" i="12"/>
  <c r="F19" i="12"/>
  <c r="D19" i="12"/>
  <c r="G18" i="12"/>
  <c r="F18" i="12"/>
  <c r="D18" i="12"/>
  <c r="G17" i="12"/>
  <c r="F17" i="12"/>
  <c r="D17" i="12"/>
  <c r="G16" i="12"/>
  <c r="F16" i="12"/>
  <c r="D16" i="12"/>
  <c r="G15" i="12"/>
  <c r="F15" i="12"/>
  <c r="L11" i="3" s="1"/>
  <c r="D15" i="12"/>
  <c r="G14" i="12"/>
  <c r="F14" i="12"/>
  <c r="D14" i="12"/>
  <c r="G13" i="12"/>
  <c r="F13" i="12"/>
  <c r="D13" i="12"/>
  <c r="G12" i="12"/>
  <c r="F12" i="12"/>
  <c r="D12" i="12"/>
  <c r="G11" i="12"/>
  <c r="F11" i="12"/>
  <c r="D11" i="12"/>
  <c r="G10" i="12"/>
  <c r="F10" i="12"/>
  <c r="D10" i="12"/>
  <c r="G9" i="12"/>
  <c r="F9" i="12"/>
  <c r="D9" i="12"/>
  <c r="G8" i="12"/>
  <c r="F8" i="12"/>
  <c r="D8" i="12"/>
  <c r="G7" i="12"/>
  <c r="F7" i="12"/>
  <c r="D7" i="12"/>
  <c r="G6" i="12"/>
  <c r="F6" i="12"/>
  <c r="D6" i="12"/>
  <c r="G5" i="12"/>
  <c r="F5" i="12"/>
  <c r="D5" i="12"/>
  <c r="G4" i="12"/>
  <c r="F4" i="12"/>
  <c r="D4" i="12"/>
  <c r="G3" i="12"/>
  <c r="F3" i="12"/>
  <c r="D3" i="12"/>
  <c r="F2" i="12"/>
  <c r="D2" i="12"/>
  <c r="K11" i="3"/>
  <c r="M150" i="6"/>
  <c r="E12" i="2"/>
  <c r="K12" i="2"/>
  <c r="J12" i="2"/>
  <c r="H12" i="2"/>
  <c r="F12" i="2"/>
  <c r="D12" i="2"/>
  <c r="D18" i="2" s="1"/>
  <c r="D140" i="6" s="1"/>
  <c r="E22" i="6"/>
  <c r="I79" i="7"/>
  <c r="I103" i="7" s="1"/>
  <c r="I85" i="7"/>
  <c r="I104" i="7" s="1"/>
  <c r="I74" i="4"/>
  <c r="E94" i="4"/>
  <c r="E93" i="4"/>
  <c r="E62" i="8"/>
  <c r="D62" i="8"/>
  <c r="C62" i="8"/>
  <c r="E107" i="6"/>
  <c r="F107" i="6"/>
  <c r="G107" i="6"/>
  <c r="H107" i="6"/>
  <c r="I107" i="6"/>
  <c r="K107" i="6"/>
  <c r="L107" i="6"/>
  <c r="M107" i="6"/>
  <c r="E89" i="6"/>
  <c r="E62" i="7"/>
  <c r="K64" i="7"/>
  <c r="I64" i="7"/>
  <c r="J64" i="7"/>
  <c r="K52" i="7"/>
  <c r="J52" i="7"/>
  <c r="I52" i="7"/>
  <c r="G52" i="7"/>
  <c r="D52" i="7"/>
  <c r="I66" i="8" s="1"/>
  <c r="I64" i="8" s="1"/>
  <c r="F52" i="7"/>
  <c r="E50" i="7"/>
  <c r="E27" i="6"/>
  <c r="E103" i="6"/>
  <c r="E102" i="6"/>
  <c r="E100" i="6"/>
  <c r="K88" i="4"/>
  <c r="I88" i="4"/>
  <c r="H88" i="4"/>
  <c r="F88" i="4"/>
  <c r="D88" i="4"/>
  <c r="E24" i="1"/>
  <c r="K24" i="1"/>
  <c r="I24" i="1"/>
  <c r="H24" i="1"/>
  <c r="F24" i="1"/>
  <c r="D24" i="1"/>
  <c r="J77" i="4"/>
  <c r="F77" i="4"/>
  <c r="K77" i="4"/>
  <c r="E74" i="4"/>
  <c r="E73" i="4"/>
  <c r="E72" i="4"/>
  <c r="E69" i="4"/>
  <c r="E68" i="4"/>
  <c r="E67" i="4"/>
  <c r="E66" i="4"/>
  <c r="K25" i="7"/>
  <c r="I25" i="7"/>
  <c r="J25" i="7"/>
  <c r="E23" i="7"/>
  <c r="H25" i="7"/>
  <c r="E22" i="7"/>
  <c r="I24" i="5"/>
  <c r="H24" i="5"/>
  <c r="F24" i="5"/>
  <c r="J24" i="5"/>
  <c r="E13" i="5"/>
  <c r="K16" i="4"/>
  <c r="I16" i="4"/>
  <c r="H16" i="4"/>
  <c r="F16" i="4"/>
  <c r="D16" i="4"/>
  <c r="D28" i="8" s="1"/>
  <c r="E13" i="4"/>
  <c r="E16" i="4" s="1"/>
  <c r="K79" i="7"/>
  <c r="J79" i="7"/>
  <c r="G79" i="7"/>
  <c r="D79" i="7"/>
  <c r="M78" i="7"/>
  <c r="O78" i="7" s="1"/>
  <c r="H79" i="7"/>
  <c r="F79" i="7"/>
  <c r="E77" i="7"/>
  <c r="K30" i="1"/>
  <c r="I30" i="1"/>
  <c r="H30" i="1"/>
  <c r="D30" i="1"/>
  <c r="F11" i="8" s="1"/>
  <c r="F5" i="8" s="1"/>
  <c r="C19" i="8"/>
  <c r="D19" i="8"/>
  <c r="E7" i="7"/>
  <c r="E15" i="7"/>
  <c r="E16" i="7"/>
  <c r="I18" i="7"/>
  <c r="J18" i="7"/>
  <c r="K18" i="7"/>
  <c r="E29" i="7"/>
  <c r="F30" i="7"/>
  <c r="I30" i="7"/>
  <c r="K30" i="7"/>
  <c r="E56" i="7"/>
  <c r="D58" i="7"/>
  <c r="D99" i="7" s="1"/>
  <c r="I58" i="7"/>
  <c r="I99" i="7" s="1"/>
  <c r="J58" i="7"/>
  <c r="J99" i="7" s="1"/>
  <c r="K58" i="7"/>
  <c r="K99" i="7" s="1"/>
  <c r="E83" i="7"/>
  <c r="M84" i="7"/>
  <c r="O84" i="7" s="1"/>
  <c r="D85" i="7"/>
  <c r="M66" i="8" s="1"/>
  <c r="F85" i="7"/>
  <c r="H85" i="7"/>
  <c r="J85" i="7"/>
  <c r="K85" i="7"/>
  <c r="F41" i="6"/>
  <c r="D41" i="6"/>
  <c r="H41" i="6"/>
  <c r="I41" i="6"/>
  <c r="I153" i="6" s="1"/>
  <c r="I145" i="6" s="1"/>
  <c r="E53" i="6"/>
  <c r="D58" i="6"/>
  <c r="E96" i="6"/>
  <c r="E97" i="6"/>
  <c r="E98" i="6"/>
  <c r="E99" i="6"/>
  <c r="I104" i="6"/>
  <c r="K104" i="6"/>
  <c r="L104" i="6"/>
  <c r="E112" i="6"/>
  <c r="E113" i="6"/>
  <c r="D124" i="6"/>
  <c r="E124" i="6"/>
  <c r="F124" i="6"/>
  <c r="I124" i="6"/>
  <c r="K124" i="6"/>
  <c r="L124" i="6"/>
  <c r="E130" i="6"/>
  <c r="D131" i="6"/>
  <c r="C59" i="8" s="1"/>
  <c r="F131" i="6"/>
  <c r="F133" i="6" s="1"/>
  <c r="H131" i="6"/>
  <c r="H133" i="6" s="1"/>
  <c r="I131" i="6"/>
  <c r="I133" i="6" s="1"/>
  <c r="K131" i="6"/>
  <c r="K133" i="6" s="1"/>
  <c r="L131" i="6"/>
  <c r="L133" i="6" s="1"/>
  <c r="E29" i="5"/>
  <c r="F49" i="5"/>
  <c r="H49" i="5"/>
  <c r="I49" i="5"/>
  <c r="K49" i="5"/>
  <c r="E55" i="5"/>
  <c r="D55" i="5"/>
  <c r="F45" i="8" s="1"/>
  <c r="F55" i="5"/>
  <c r="H55" i="5"/>
  <c r="I55" i="5"/>
  <c r="J55" i="5"/>
  <c r="K55" i="5"/>
  <c r="E60" i="5"/>
  <c r="D62" i="5"/>
  <c r="G45" i="8" s="1"/>
  <c r="F62" i="5"/>
  <c r="H62" i="5"/>
  <c r="I62" i="5"/>
  <c r="J62" i="5"/>
  <c r="K62" i="5"/>
  <c r="E67" i="5"/>
  <c r="E68" i="5"/>
  <c r="F70" i="5"/>
  <c r="H70" i="5"/>
  <c r="I70" i="5"/>
  <c r="J70" i="5"/>
  <c r="K70" i="5"/>
  <c r="F95" i="5"/>
  <c r="H95" i="5"/>
  <c r="I95" i="5"/>
  <c r="J95" i="5"/>
  <c r="K95" i="5"/>
  <c r="D9" i="4"/>
  <c r="F9" i="4"/>
  <c r="H9" i="4"/>
  <c r="I9" i="4"/>
  <c r="J9" i="4"/>
  <c r="K9" i="4"/>
  <c r="E33" i="4"/>
  <c r="E34" i="4"/>
  <c r="F40" i="4"/>
  <c r="H40" i="4"/>
  <c r="E35" i="4"/>
  <c r="E36" i="4"/>
  <c r="E37" i="4"/>
  <c r="E38" i="4"/>
  <c r="M39" i="4"/>
  <c r="O39" i="4" s="1"/>
  <c r="D40" i="4"/>
  <c r="G28" i="8" s="1"/>
  <c r="I40" i="4"/>
  <c r="J40" i="4"/>
  <c r="K40" i="4"/>
  <c r="M48" i="4"/>
  <c r="O48" i="4" s="1"/>
  <c r="E49" i="4"/>
  <c r="F49" i="4"/>
  <c r="H49" i="4"/>
  <c r="I49" i="4"/>
  <c r="J49" i="4"/>
  <c r="K49" i="4"/>
  <c r="M58" i="4"/>
  <c r="O58" i="4" s="1"/>
  <c r="E59" i="4"/>
  <c r="E61" i="4" s="1"/>
  <c r="F59" i="4"/>
  <c r="F61" i="4" s="1"/>
  <c r="H59" i="4"/>
  <c r="H61" i="4" s="1"/>
  <c r="I59" i="4"/>
  <c r="I61" i="4" s="1"/>
  <c r="J59" i="4"/>
  <c r="J61" i="4" s="1"/>
  <c r="K59" i="4"/>
  <c r="K61" i="4" s="1"/>
  <c r="E11" i="3"/>
  <c r="D11" i="3"/>
  <c r="F11" i="3"/>
  <c r="H11" i="3"/>
  <c r="I11" i="3"/>
  <c r="J11" i="3"/>
  <c r="E16" i="3"/>
  <c r="D16" i="3"/>
  <c r="F16" i="3"/>
  <c r="H16" i="3"/>
  <c r="I16" i="3"/>
  <c r="J16" i="3"/>
  <c r="D11" i="1"/>
  <c r="E40" i="1"/>
  <c r="D18" i="1"/>
  <c r="H18" i="7"/>
  <c r="F18" i="7"/>
  <c r="H64" i="7"/>
  <c r="F64" i="7"/>
  <c r="F25" i="7"/>
  <c r="F108" i="5" l="1"/>
  <c r="F111" i="5" s="1"/>
  <c r="D108" i="5"/>
  <c r="D111" i="5" s="1"/>
  <c r="I108" i="5"/>
  <c r="I111" i="5" s="1"/>
  <c r="E96" i="4"/>
  <c r="H108" i="5"/>
  <c r="H111" i="5" s="1"/>
  <c r="H144" i="6" s="1"/>
  <c r="F97" i="7"/>
  <c r="D97" i="7"/>
  <c r="I97" i="7"/>
  <c r="K97" i="7"/>
  <c r="K96" i="7" s="1"/>
  <c r="K102" i="7" s="1"/>
  <c r="K146" i="6" s="1"/>
  <c r="E58" i="6"/>
  <c r="F144" i="6"/>
  <c r="D45" i="1"/>
  <c r="E11" i="8"/>
  <c r="B11" i="8" s="1"/>
  <c r="D42" i="1"/>
  <c r="D43" i="1" s="1"/>
  <c r="D139" i="6" s="1"/>
  <c r="K109" i="4"/>
  <c r="K142" i="6" s="1"/>
  <c r="F42" i="1"/>
  <c r="F43" i="1" s="1"/>
  <c r="F139" i="6" s="1"/>
  <c r="F45" i="1"/>
  <c r="K42" i="1"/>
  <c r="K43" i="1" s="1"/>
  <c r="K139" i="6" s="1"/>
  <c r="K45" i="1"/>
  <c r="H42" i="1"/>
  <c r="I42" i="1"/>
  <c r="I43" i="1" s="1"/>
  <c r="I139" i="6" s="1"/>
  <c r="I45" i="1"/>
  <c r="K22" i="3"/>
  <c r="K19" i="3"/>
  <c r="K141" i="6" s="1"/>
  <c r="H23" i="12"/>
  <c r="J22" i="3"/>
  <c r="F22" i="3"/>
  <c r="I126" i="6"/>
  <c r="D22" i="3"/>
  <c r="D141" i="6" s="1"/>
  <c r="H9" i="12"/>
  <c r="H31" i="12"/>
  <c r="I22" i="3"/>
  <c r="I96" i="7"/>
  <c r="I102" i="7" s="1"/>
  <c r="I146" i="6" s="1"/>
  <c r="G54" i="8"/>
  <c r="D153" i="6"/>
  <c r="D145" i="6" s="1"/>
  <c r="K126" i="6"/>
  <c r="K135" i="6" s="1"/>
  <c r="K153" i="6"/>
  <c r="K145" i="6" s="1"/>
  <c r="I54" i="8"/>
  <c r="D126" i="6"/>
  <c r="B59" i="8"/>
  <c r="D133" i="6"/>
  <c r="L153" i="6"/>
  <c r="L145" i="6" s="1"/>
  <c r="L126" i="6"/>
  <c r="L135" i="6" s="1"/>
  <c r="D144" i="6"/>
  <c r="I144" i="6"/>
  <c r="F109" i="4"/>
  <c r="F142" i="6" s="1"/>
  <c r="H109" i="4"/>
  <c r="H142" i="6" s="1"/>
  <c r="D104" i="4"/>
  <c r="D109" i="4"/>
  <c r="D142" i="6" s="1"/>
  <c r="H22" i="3"/>
  <c r="L22" i="3"/>
  <c r="J16" i="2"/>
  <c r="J18" i="2"/>
  <c r="H16" i="2"/>
  <c r="H18" i="2"/>
  <c r="F16" i="2"/>
  <c r="F140" i="6" s="1"/>
  <c r="F18" i="2"/>
  <c r="K16" i="2"/>
  <c r="K18" i="2"/>
  <c r="E16" i="2"/>
  <c r="E18" i="2"/>
  <c r="E22" i="3"/>
  <c r="I19" i="3"/>
  <c r="I141" i="6" s="1"/>
  <c r="E114" i="6"/>
  <c r="E41" i="1"/>
  <c r="L70" i="8"/>
  <c r="L64" i="8" s="1"/>
  <c r="J51" i="4"/>
  <c r="H51" i="4"/>
  <c r="F51" i="4"/>
  <c r="C28" i="8"/>
  <c r="B28" i="8" s="1"/>
  <c r="D51" i="4"/>
  <c r="I51" i="4"/>
  <c r="K51" i="4"/>
  <c r="F19" i="3"/>
  <c r="F141" i="6" s="1"/>
  <c r="E23" i="6"/>
  <c r="E31" i="6"/>
  <c r="E45" i="8"/>
  <c r="E49" i="8" s="1"/>
  <c r="F104" i="4"/>
  <c r="H104" i="4"/>
  <c r="J70" i="8"/>
  <c r="H58" i="7"/>
  <c r="H99" i="7" s="1"/>
  <c r="D66" i="8"/>
  <c r="B66" i="8" s="1"/>
  <c r="E70" i="5"/>
  <c r="K104" i="4"/>
  <c r="C34" i="8"/>
  <c r="C40" i="8" s="1"/>
  <c r="E9" i="6"/>
  <c r="G30" i="1"/>
  <c r="H52" i="7"/>
  <c r="H97" i="7" s="1"/>
  <c r="J19" i="3"/>
  <c r="J141" i="6" s="1"/>
  <c r="H10" i="12"/>
  <c r="H30" i="12"/>
  <c r="E34" i="8"/>
  <c r="G47" i="8"/>
  <c r="G49" i="8"/>
  <c r="I47" i="8"/>
  <c r="I49" i="8"/>
  <c r="M64" i="8"/>
  <c r="F49" i="8"/>
  <c r="F47" i="8"/>
  <c r="D45" i="8"/>
  <c r="H6" i="12"/>
  <c r="H7" i="12"/>
  <c r="H8" i="12"/>
  <c r="H11" i="12"/>
  <c r="H13" i="12"/>
  <c r="H21" i="12"/>
  <c r="H104" i="6"/>
  <c r="F104" i="6"/>
  <c r="F126" i="6" s="1"/>
  <c r="F135" i="6" s="1"/>
  <c r="H124" i="6"/>
  <c r="E41" i="6"/>
  <c r="H19" i="3"/>
  <c r="H141" i="6" s="1"/>
  <c r="M50" i="7"/>
  <c r="M52" i="7" s="1"/>
  <c r="E52" i="7"/>
  <c r="F58" i="7"/>
  <c r="F99" i="7" s="1"/>
  <c r="J30" i="7"/>
  <c r="J97" i="7" s="1"/>
  <c r="E58" i="7"/>
  <c r="E99" i="7" s="1"/>
  <c r="J88" i="4"/>
  <c r="J109" i="4" s="1"/>
  <c r="J142" i="6" s="1"/>
  <c r="I77" i="4"/>
  <c r="H34" i="8"/>
  <c r="E88" i="4"/>
  <c r="J49" i="5"/>
  <c r="J108" i="5" s="1"/>
  <c r="J111" i="5" s="1"/>
  <c r="E30" i="7"/>
  <c r="E62" i="5"/>
  <c r="D16" i="2"/>
  <c r="C16" i="8" s="1"/>
  <c r="B16" i="8" s="1"/>
  <c r="L19" i="3"/>
  <c r="L141" i="6" s="1"/>
  <c r="D19" i="3"/>
  <c r="E85" i="7"/>
  <c r="E19" i="3"/>
  <c r="E141" i="6" s="1"/>
  <c r="E18" i="7"/>
  <c r="J30" i="1"/>
  <c r="J42" i="1" s="1"/>
  <c r="J43" i="1" s="1"/>
  <c r="J139" i="6" s="1"/>
  <c r="H3" i="12"/>
  <c r="H12" i="12"/>
  <c r="H16" i="12"/>
  <c r="H20" i="12"/>
  <c r="H24" i="12"/>
  <c r="H32" i="12"/>
  <c r="G95" i="12"/>
  <c r="B103" i="12" s="1"/>
  <c r="H15" i="12"/>
  <c r="H14" i="12"/>
  <c r="H22" i="12"/>
  <c r="H27" i="12"/>
  <c r="M28" i="1"/>
  <c r="M30" i="1" s="1"/>
  <c r="L42" i="1"/>
  <c r="L43" i="1" s="1"/>
  <c r="L139" i="6" s="1"/>
  <c r="H25" i="12"/>
  <c r="H17" i="12"/>
  <c r="H4" i="12"/>
  <c r="H18" i="12"/>
  <c r="H26" i="12"/>
  <c r="B97" i="12"/>
  <c r="H19" i="12"/>
  <c r="H28" i="12"/>
  <c r="H29" i="12"/>
  <c r="H5" i="12"/>
  <c r="H2" i="12"/>
  <c r="E30" i="1"/>
  <c r="E42" i="1" s="1"/>
  <c r="E18" i="1"/>
  <c r="E40" i="4"/>
  <c r="E49" i="5"/>
  <c r="E79" i="7"/>
  <c r="M77" i="7"/>
  <c r="E25" i="7"/>
  <c r="E64" i="7"/>
  <c r="E24" i="5"/>
  <c r="E104" i="6"/>
  <c r="E11" i="1"/>
  <c r="E9" i="4"/>
  <c r="E77" i="4"/>
  <c r="E131" i="6"/>
  <c r="E108" i="5" l="1"/>
  <c r="E111" i="5" s="1"/>
  <c r="E144" i="6" s="1"/>
  <c r="E97" i="7"/>
  <c r="E96" i="7" s="1"/>
  <c r="E102" i="7" s="1"/>
  <c r="E146" i="6" s="1"/>
  <c r="E5" i="8"/>
  <c r="B5" i="8" s="1"/>
  <c r="F15" i="2"/>
  <c r="H15" i="2"/>
  <c r="H140" i="6"/>
  <c r="L45" i="1"/>
  <c r="K15" i="2"/>
  <c r="K140" i="6"/>
  <c r="J15" i="2"/>
  <c r="J140" i="6"/>
  <c r="H153" i="6"/>
  <c r="E15" i="2"/>
  <c r="E140" i="6"/>
  <c r="E45" i="1"/>
  <c r="E43" i="1"/>
  <c r="E139" i="6" s="1"/>
  <c r="D135" i="6"/>
  <c r="D154" i="6" s="1"/>
  <c r="J45" i="1"/>
  <c r="I104" i="4"/>
  <c r="I106" i="4" s="1"/>
  <c r="I110" i="4"/>
  <c r="I109" i="4"/>
  <c r="I142" i="6" s="1"/>
  <c r="B70" i="8"/>
  <c r="B54" i="8"/>
  <c r="L154" i="6"/>
  <c r="F153" i="6"/>
  <c r="H126" i="6"/>
  <c r="H135" i="6" s="1"/>
  <c r="H145" i="6" s="1"/>
  <c r="J144" i="6"/>
  <c r="L16" i="2"/>
  <c r="L18" i="2"/>
  <c r="E126" i="6"/>
  <c r="E153" i="6"/>
  <c r="E145" i="6" s="1"/>
  <c r="E133" i="6"/>
  <c r="E109" i="4"/>
  <c r="E142" i="6" s="1"/>
  <c r="K154" i="6"/>
  <c r="H96" i="7"/>
  <c r="H102" i="7" s="1"/>
  <c r="H146" i="6" s="1"/>
  <c r="F96" i="7"/>
  <c r="F102" i="7" s="1"/>
  <c r="F146" i="6" s="1"/>
  <c r="J96" i="7"/>
  <c r="J102" i="7" s="1"/>
  <c r="J146" i="6" s="1"/>
  <c r="E51" i="4"/>
  <c r="J64" i="8"/>
  <c r="D64" i="8"/>
  <c r="E47" i="8"/>
  <c r="D106" i="4"/>
  <c r="B45" i="8"/>
  <c r="B47" i="8" s="1"/>
  <c r="E104" i="4"/>
  <c r="J104" i="4"/>
  <c r="J106" i="4" s="1"/>
  <c r="C38" i="8"/>
  <c r="C36" i="8"/>
  <c r="H36" i="8"/>
  <c r="H40" i="8"/>
  <c r="H38" i="8"/>
  <c r="E40" i="8"/>
  <c r="E38" i="8"/>
  <c r="B34" i="8"/>
  <c r="E36" i="8"/>
  <c r="D47" i="8"/>
  <c r="D49" i="8"/>
  <c r="I135" i="6"/>
  <c r="I154" i="6" s="1"/>
  <c r="D15" i="2"/>
  <c r="K106" i="4"/>
  <c r="F106" i="4"/>
  <c r="H106" i="4"/>
  <c r="M79" i="7"/>
  <c r="L15" i="2" l="1"/>
  <c r="L140" i="6"/>
  <c r="F154" i="6"/>
  <c r="F145" i="6"/>
  <c r="E135" i="6"/>
  <c r="E154" i="6" s="1"/>
  <c r="B64" i="8"/>
  <c r="I5" i="8" s="1"/>
  <c r="I148" i="6"/>
  <c r="G116" i="4" s="1"/>
  <c r="M116" i="4" s="1"/>
  <c r="H154" i="6"/>
  <c r="B38" i="8"/>
  <c r="B40" i="8"/>
  <c r="B36" i="8"/>
  <c r="J148" i="6"/>
  <c r="J165" i="6" s="1"/>
  <c r="B49" i="8"/>
  <c r="E106" i="4"/>
  <c r="I165" i="6" l="1"/>
  <c r="G115" i="4"/>
  <c r="M115" i="4" s="1"/>
  <c r="G114" i="4"/>
  <c r="G95" i="4"/>
  <c r="M95" i="4" s="1"/>
  <c r="G91" i="7"/>
  <c r="M91" i="7" s="1"/>
  <c r="O91" i="7" s="1"/>
  <c r="G90" i="7"/>
  <c r="M90" i="7" s="1"/>
  <c r="O90" i="7" s="1"/>
  <c r="G89" i="7"/>
  <c r="M89" i="7" s="1"/>
  <c r="O89" i="7" s="1"/>
  <c r="G88" i="7"/>
  <c r="G92" i="7"/>
  <c r="M92" i="7" s="1"/>
  <c r="O92" i="7" s="1"/>
  <c r="G130" i="6"/>
  <c r="M9" i="3"/>
  <c r="G22" i="7"/>
  <c r="G87" i="5"/>
  <c r="G14" i="7"/>
  <c r="M14" i="7" s="1"/>
  <c r="G29" i="7"/>
  <c r="M29" i="7" s="1"/>
  <c r="M30" i="7" s="1"/>
  <c r="G75" i="5"/>
  <c r="M75" i="5" s="1"/>
  <c r="G11" i="7"/>
  <c r="M11" i="7" s="1"/>
  <c r="G123" i="6"/>
  <c r="M123" i="6" s="1"/>
  <c r="O123" i="6" s="1"/>
  <c r="G122" i="6"/>
  <c r="M122" i="6" s="1"/>
  <c r="O122" i="6" s="1"/>
  <c r="G121" i="6"/>
  <c r="M121" i="6" s="1"/>
  <c r="O121" i="6" s="1"/>
  <c r="G120" i="6"/>
  <c r="G10" i="7"/>
  <c r="M10" i="7" s="1"/>
  <c r="G93" i="5"/>
  <c r="M93" i="5" s="1"/>
  <c r="G13" i="7"/>
  <c r="M13" i="7" s="1"/>
  <c r="G62" i="7"/>
  <c r="G15" i="3"/>
  <c r="G24" i="7"/>
  <c r="M24" i="7" s="1"/>
  <c r="G92" i="5"/>
  <c r="M92" i="5" s="1"/>
  <c r="G81" i="5"/>
  <c r="G12" i="7"/>
  <c r="M12" i="7" s="1"/>
  <c r="G10" i="3"/>
  <c r="M10" i="3" s="1"/>
  <c r="G23" i="7"/>
  <c r="M23" i="7" s="1"/>
  <c r="G91" i="5"/>
  <c r="M91" i="5" s="1"/>
  <c r="G34" i="7"/>
  <c r="G74" i="5"/>
  <c r="G68" i="5"/>
  <c r="M68" i="5" s="1"/>
  <c r="G56" i="7"/>
  <c r="G67" i="5"/>
  <c r="G7" i="7"/>
  <c r="G90" i="5"/>
  <c r="M90" i="5" s="1"/>
  <c r="G44" i="7"/>
  <c r="G8" i="7"/>
  <c r="M8" i="7" s="1"/>
  <c r="G16" i="7"/>
  <c r="M16" i="7" s="1"/>
  <c r="G15" i="7"/>
  <c r="M15" i="7" s="1"/>
  <c r="G39" i="7"/>
  <c r="G60" i="5"/>
  <c r="G9" i="7"/>
  <c r="G89" i="5"/>
  <c r="M89" i="5" s="1"/>
  <c r="G8" i="3"/>
  <c r="G53" i="5"/>
  <c r="G88" i="5"/>
  <c r="M88" i="5" s="1"/>
  <c r="G48" i="5"/>
  <c r="M48" i="5" s="1"/>
  <c r="M40" i="5"/>
  <c r="G32" i="5"/>
  <c r="M32" i="5" s="1"/>
  <c r="G17" i="5"/>
  <c r="M17" i="5" s="1"/>
  <c r="G33" i="5"/>
  <c r="M33" i="5" s="1"/>
  <c r="G47" i="5"/>
  <c r="M47" i="5" s="1"/>
  <c r="G39" i="5"/>
  <c r="M39" i="5" s="1"/>
  <c r="G30" i="5"/>
  <c r="M30" i="5" s="1"/>
  <c r="G16" i="5"/>
  <c r="M16" i="5" s="1"/>
  <c r="G18" i="5"/>
  <c r="M18" i="5" s="1"/>
  <c r="G38" i="5"/>
  <c r="M38" i="5" s="1"/>
  <c r="G29" i="5"/>
  <c r="G15" i="5"/>
  <c r="M15" i="5" s="1"/>
  <c r="G45" i="5"/>
  <c r="M45" i="5" s="1"/>
  <c r="G37" i="5"/>
  <c r="M37" i="5" s="1"/>
  <c r="G22" i="5"/>
  <c r="M22" i="5" s="1"/>
  <c r="G14" i="5"/>
  <c r="M14" i="5" s="1"/>
  <c r="G44" i="5"/>
  <c r="M44" i="5" s="1"/>
  <c r="G36" i="5"/>
  <c r="M36" i="5" s="1"/>
  <c r="G21" i="5"/>
  <c r="M21" i="5" s="1"/>
  <c r="G13" i="5"/>
  <c r="G43" i="5"/>
  <c r="M43" i="5" s="1"/>
  <c r="G35" i="5"/>
  <c r="M35" i="5" s="1"/>
  <c r="G20" i="5"/>
  <c r="M20" i="5" s="1"/>
  <c r="G7" i="5"/>
  <c r="G41" i="5"/>
  <c r="M41" i="5" s="1"/>
  <c r="G42" i="5"/>
  <c r="M42" i="5" s="1"/>
  <c r="G34" i="5"/>
  <c r="M34" i="5" s="1"/>
  <c r="G19" i="5"/>
  <c r="M19" i="5" s="1"/>
  <c r="G100" i="4"/>
  <c r="G82" i="4"/>
  <c r="M82" i="4" s="1"/>
  <c r="G67" i="4"/>
  <c r="M67" i="4" s="1"/>
  <c r="G37" i="4"/>
  <c r="M37" i="4" s="1"/>
  <c r="G85" i="4"/>
  <c r="M85" i="4" s="1"/>
  <c r="G27" i="4"/>
  <c r="G38" i="4"/>
  <c r="M38" i="4" s="1"/>
  <c r="G94" i="4"/>
  <c r="M94" i="4" s="1"/>
  <c r="G81" i="4"/>
  <c r="G66" i="4"/>
  <c r="G36" i="4"/>
  <c r="M36" i="4" s="1"/>
  <c r="G83" i="4"/>
  <c r="M83" i="4" s="1"/>
  <c r="G93" i="4"/>
  <c r="M93" i="4" s="1"/>
  <c r="G76" i="4"/>
  <c r="M76" i="4" s="1"/>
  <c r="G57" i="4"/>
  <c r="G35" i="4"/>
  <c r="M35" i="4" s="1"/>
  <c r="G44" i="4"/>
  <c r="G92" i="4"/>
  <c r="G74" i="4"/>
  <c r="M74" i="4" s="1"/>
  <c r="G47" i="4"/>
  <c r="M47" i="4" s="1"/>
  <c r="G34" i="4"/>
  <c r="M34" i="4" s="1"/>
  <c r="G72" i="4"/>
  <c r="M72" i="4" s="1"/>
  <c r="G84" i="4"/>
  <c r="M84" i="4" s="1"/>
  <c r="G86" i="4"/>
  <c r="M86" i="4" s="1"/>
  <c r="G73" i="4"/>
  <c r="M73" i="4" s="1"/>
  <c r="G46" i="4"/>
  <c r="M46" i="4" s="1"/>
  <c r="G33" i="4"/>
  <c r="G45" i="4"/>
  <c r="M45" i="4" s="1"/>
  <c r="G69" i="4"/>
  <c r="M69" i="4" s="1"/>
  <c r="G68" i="4"/>
  <c r="M68" i="4" s="1"/>
  <c r="G21" i="4"/>
  <c r="M21" i="4" s="1"/>
  <c r="G113" i="6"/>
  <c r="M113" i="6" s="1"/>
  <c r="G98" i="6"/>
  <c r="M98" i="6" s="1"/>
  <c r="G90" i="6"/>
  <c r="M90" i="6" s="1"/>
  <c r="O90" i="6" s="1"/>
  <c r="G69" i="6"/>
  <c r="M69" i="6" s="1"/>
  <c r="G46" i="6"/>
  <c r="G21" i="6"/>
  <c r="M21" i="6" s="1"/>
  <c r="G112" i="6"/>
  <c r="M112" i="6" s="1"/>
  <c r="G20" i="4"/>
  <c r="G14" i="4"/>
  <c r="M14" i="4" s="1"/>
  <c r="G15" i="1"/>
  <c r="G111" i="6"/>
  <c r="G96" i="6"/>
  <c r="M96" i="6" s="1"/>
  <c r="G83" i="6"/>
  <c r="M83" i="6" s="1"/>
  <c r="M63" i="6"/>
  <c r="G35" i="6"/>
  <c r="M35" i="6" s="1"/>
  <c r="M36" i="6" s="1"/>
  <c r="G15" i="6"/>
  <c r="M15" i="6" s="1"/>
  <c r="G40" i="1"/>
  <c r="G101" i="6"/>
  <c r="M101" i="6" s="1"/>
  <c r="G80" i="6"/>
  <c r="G28" i="6"/>
  <c r="M28" i="6" s="1"/>
  <c r="G9" i="1"/>
  <c r="G103" i="6"/>
  <c r="M103" i="6" s="1"/>
  <c r="G95" i="6"/>
  <c r="M95" i="6" s="1"/>
  <c r="G82" i="6"/>
  <c r="M82" i="6" s="1"/>
  <c r="G30" i="6"/>
  <c r="M30" i="6" s="1"/>
  <c r="G14" i="6"/>
  <c r="M14" i="6" s="1"/>
  <c r="G10" i="2"/>
  <c r="M10" i="2" s="1"/>
  <c r="G93" i="6"/>
  <c r="M93" i="6" s="1"/>
  <c r="O93" i="6" s="1"/>
  <c r="G54" i="6"/>
  <c r="M54" i="6" s="1"/>
  <c r="G8" i="6"/>
  <c r="M8" i="6" s="1"/>
  <c r="G68" i="6"/>
  <c r="G7" i="4"/>
  <c r="G8" i="1"/>
  <c r="G102" i="6"/>
  <c r="M102" i="6" s="1"/>
  <c r="G94" i="6"/>
  <c r="M94" i="6" s="1"/>
  <c r="O94" i="6" s="1"/>
  <c r="G81" i="6"/>
  <c r="M81" i="6" s="1"/>
  <c r="G57" i="6"/>
  <c r="M57" i="6" s="1"/>
  <c r="G29" i="6"/>
  <c r="M29" i="6" s="1"/>
  <c r="G13" i="6"/>
  <c r="G89" i="6"/>
  <c r="G9" i="2"/>
  <c r="G119" i="6"/>
  <c r="M119" i="6" s="1"/>
  <c r="O119" i="6" s="1"/>
  <c r="G100" i="6"/>
  <c r="M100" i="6" s="1"/>
  <c r="G92" i="6"/>
  <c r="M92" i="6" s="1"/>
  <c r="O92" i="6" s="1"/>
  <c r="G75" i="6"/>
  <c r="M75" i="6" s="1"/>
  <c r="G53" i="6"/>
  <c r="G27" i="6"/>
  <c r="G7" i="6"/>
  <c r="G97" i="6"/>
  <c r="M97" i="6" s="1"/>
  <c r="G20" i="6"/>
  <c r="G34" i="1"/>
  <c r="G118" i="6"/>
  <c r="G99" i="6"/>
  <c r="M99" i="6" s="1"/>
  <c r="G91" i="6"/>
  <c r="M91" i="6" s="1"/>
  <c r="G74" i="6"/>
  <c r="G47" i="6"/>
  <c r="M47" i="6" s="1"/>
  <c r="G22" i="6"/>
  <c r="M22" i="6" s="1"/>
  <c r="G16" i="1"/>
  <c r="M16" i="1" s="1"/>
  <c r="G40" i="6"/>
  <c r="L148" i="6"/>
  <c r="L165" i="6" s="1"/>
  <c r="F148" i="6"/>
  <c r="F165" i="6" s="1"/>
  <c r="E148" i="6"/>
  <c r="E165" i="6" s="1"/>
  <c r="M114" i="4" l="1"/>
  <c r="M117" i="4" s="1"/>
  <c r="G117" i="4"/>
  <c r="G93" i="7"/>
  <c r="M88" i="7"/>
  <c r="G96" i="4"/>
  <c r="G98" i="7"/>
  <c r="M9" i="7"/>
  <c r="M98" i="7" s="1"/>
  <c r="G18" i="7"/>
  <c r="M7" i="7"/>
  <c r="G64" i="7"/>
  <c r="M62" i="7"/>
  <c r="M64" i="7" s="1"/>
  <c r="G62" i="5"/>
  <c r="M60" i="5"/>
  <c r="M62" i="5" s="1"/>
  <c r="G70" i="5"/>
  <c r="M67" i="5"/>
  <c r="M70" i="5" s="1"/>
  <c r="G85" i="7"/>
  <c r="M83" i="7"/>
  <c r="M85" i="7" s="1"/>
  <c r="G40" i="7"/>
  <c r="M39" i="7"/>
  <c r="M40" i="7" s="1"/>
  <c r="G58" i="7"/>
  <c r="G99" i="7" s="1"/>
  <c r="M56" i="7"/>
  <c r="M58" i="7" s="1"/>
  <c r="G83" i="5"/>
  <c r="M81" i="5"/>
  <c r="M83" i="5" s="1"/>
  <c r="G95" i="5"/>
  <c r="M87" i="5"/>
  <c r="M95" i="5" s="1"/>
  <c r="G77" i="5"/>
  <c r="M74" i="5"/>
  <c r="M77" i="5" s="1"/>
  <c r="G25" i="7"/>
  <c r="M22" i="7"/>
  <c r="M25" i="7" s="1"/>
  <c r="G55" i="5"/>
  <c r="M53" i="5"/>
  <c r="M55" i="5" s="1"/>
  <c r="G35" i="7"/>
  <c r="M34" i="7"/>
  <c r="M35" i="7" s="1"/>
  <c r="G11" i="3"/>
  <c r="M8" i="3"/>
  <c r="M11" i="3" s="1"/>
  <c r="G45" i="7"/>
  <c r="M44" i="7"/>
  <c r="M45" i="7" s="1"/>
  <c r="G16" i="3"/>
  <c r="M15" i="3"/>
  <c r="M16" i="3" s="1"/>
  <c r="G131" i="6"/>
  <c r="M130" i="6"/>
  <c r="M131" i="6" s="1"/>
  <c r="G24" i="5"/>
  <c r="M13" i="5"/>
  <c r="M24" i="5" s="1"/>
  <c r="G49" i="5"/>
  <c r="M29" i="5"/>
  <c r="M49" i="5" s="1"/>
  <c r="G9" i="5"/>
  <c r="M7" i="5"/>
  <c r="M9" i="5" s="1"/>
  <c r="M57" i="4"/>
  <c r="M59" i="4" s="1"/>
  <c r="M61" i="4" s="1"/>
  <c r="G59" i="4"/>
  <c r="G61" i="4" s="1"/>
  <c r="G29" i="4"/>
  <c r="M27" i="4"/>
  <c r="M29" i="4" s="1"/>
  <c r="G40" i="4"/>
  <c r="M33" i="4"/>
  <c r="M40" i="4" s="1"/>
  <c r="M92" i="4"/>
  <c r="M96" i="4" s="1"/>
  <c r="G77" i="4"/>
  <c r="M66" i="4"/>
  <c r="M77" i="4" s="1"/>
  <c r="G49" i="4"/>
  <c r="M44" i="4"/>
  <c r="M49" i="4" s="1"/>
  <c r="G88" i="4"/>
  <c r="M81" i="4"/>
  <c r="M88" i="4" s="1"/>
  <c r="G102" i="4"/>
  <c r="M100" i="4"/>
  <c r="M102" i="4" s="1"/>
  <c r="G36" i="1"/>
  <c r="M34" i="1"/>
  <c r="M36" i="1" s="1"/>
  <c r="G16" i="4"/>
  <c r="M13" i="4"/>
  <c r="M16" i="4" s="1"/>
  <c r="M9" i="2"/>
  <c r="M12" i="2" s="1"/>
  <c r="G12" i="2"/>
  <c r="G11" i="1"/>
  <c r="G84" i="6"/>
  <c r="M80" i="6"/>
  <c r="M84" i="6" s="1"/>
  <c r="G114" i="6"/>
  <c r="M111" i="6"/>
  <c r="M114" i="6" s="1"/>
  <c r="G104" i="6"/>
  <c r="M89" i="6"/>
  <c r="M104" i="6" s="1"/>
  <c r="M7" i="4"/>
  <c r="M9" i="4" s="1"/>
  <c r="G9" i="4"/>
  <c r="G18" i="1"/>
  <c r="M15" i="1"/>
  <c r="M18" i="1" s="1"/>
  <c r="G41" i="1"/>
  <c r="M9" i="1"/>
  <c r="G76" i="6"/>
  <c r="M74" i="6"/>
  <c r="M76" i="6" s="1"/>
  <c r="G23" i="4"/>
  <c r="M20" i="4"/>
  <c r="M23" i="4" s="1"/>
  <c r="G24" i="1"/>
  <c r="M24" i="1"/>
  <c r="G124" i="6"/>
  <c r="M118" i="6"/>
  <c r="G23" i="6"/>
  <c r="M20" i="6"/>
  <c r="M23" i="6" s="1"/>
  <c r="G9" i="6"/>
  <c r="M7" i="6"/>
  <c r="M9" i="6" s="1"/>
  <c r="G64" i="6"/>
  <c r="M62" i="6"/>
  <c r="M64" i="6" s="1"/>
  <c r="G58" i="6"/>
  <c r="M53" i="6"/>
  <c r="M58" i="6" s="1"/>
  <c r="M40" i="6"/>
  <c r="M41" i="6" s="1"/>
  <c r="G41" i="6"/>
  <c r="G70" i="6"/>
  <c r="M68" i="6"/>
  <c r="M70" i="6" s="1"/>
  <c r="G48" i="6"/>
  <c r="M46" i="6"/>
  <c r="M48" i="6" s="1"/>
  <c r="G16" i="6"/>
  <c r="M13" i="6"/>
  <c r="M16" i="6" s="1"/>
  <c r="G31" i="6"/>
  <c r="M27" i="6"/>
  <c r="M31" i="6" s="1"/>
  <c r="G42" i="1" l="1"/>
  <c r="G108" i="5"/>
  <c r="G111" i="5" s="1"/>
  <c r="G144" i="6" s="1"/>
  <c r="G97" i="7"/>
  <c r="G96" i="7" s="1"/>
  <c r="G102" i="7" s="1"/>
  <c r="G146" i="6" s="1"/>
  <c r="M146" i="6" s="1"/>
  <c r="O88" i="7"/>
  <c r="O93" i="7" s="1"/>
  <c r="M93" i="7"/>
  <c r="M97" i="7" s="1"/>
  <c r="M42" i="1"/>
  <c r="M18" i="7"/>
  <c r="M133" i="6"/>
  <c r="M99" i="7"/>
  <c r="M19" i="3"/>
  <c r="M22" i="3"/>
  <c r="G19" i="3"/>
  <c r="G141" i="6" s="1"/>
  <c r="M141" i="6" s="1"/>
  <c r="G22" i="3"/>
  <c r="M104" i="4"/>
  <c r="G104" i="4"/>
  <c r="M41" i="1"/>
  <c r="G45" i="1"/>
  <c r="G16" i="2"/>
  <c r="G18" i="2"/>
  <c r="O118" i="6"/>
  <c r="M124" i="6"/>
  <c r="M126" i="6" s="1"/>
  <c r="M109" i="4"/>
  <c r="M51" i="4"/>
  <c r="G43" i="1"/>
  <c r="G139" i="6" s="1"/>
  <c r="M18" i="2"/>
  <c r="M16" i="2"/>
  <c r="M15" i="2" s="1"/>
  <c r="G109" i="4"/>
  <c r="G142" i="6" s="1"/>
  <c r="M142" i="6" s="1"/>
  <c r="G51" i="4"/>
  <c r="G133" i="6"/>
  <c r="G153" i="6"/>
  <c r="G145" i="6" s="1"/>
  <c r="G126" i="6"/>
  <c r="Q93" i="7" l="1"/>
  <c r="M96" i="7"/>
  <c r="M102" i="7" s="1"/>
  <c r="M106" i="4"/>
  <c r="M135" i="6"/>
  <c r="G106" i="4"/>
  <c r="G135" i="6"/>
  <c r="G154" i="6" s="1"/>
  <c r="G15" i="2"/>
  <c r="G140" i="6"/>
  <c r="M140" i="6" s="1"/>
  <c r="M145" i="6"/>
  <c r="G148" i="6" l="1"/>
  <c r="G165" i="6" s="1"/>
  <c r="D96" i="7" l="1"/>
  <c r="D102" i="7" l="1"/>
  <c r="D146" i="6" s="1"/>
  <c r="D148" i="6" s="1"/>
  <c r="H40" i="1"/>
  <c r="H43" i="1"/>
  <c r="H139" i="6" s="1"/>
  <c r="M139" i="6" s="1"/>
  <c r="M8" i="1"/>
  <c r="M11" i="1"/>
  <c r="M45" i="1" s="1"/>
  <c r="H11" i="1"/>
  <c r="H45" i="1" s="1"/>
  <c r="H148" i="6" l="1"/>
  <c r="H165" i="6" s="1"/>
  <c r="M40" i="1"/>
  <c r="M43" i="1" s="1"/>
  <c r="K106" i="5" l="1"/>
  <c r="K108" i="5" s="1"/>
  <c r="K111" i="5" s="1"/>
  <c r="K144" i="6" s="1"/>
  <c r="M104" i="5"/>
  <c r="K148" i="6" l="1"/>
  <c r="M144" i="6"/>
  <c r="M106" i="5"/>
  <c r="M108" i="5" l="1"/>
  <c r="M111" i="5" s="1"/>
  <c r="M148" i="6"/>
  <c r="K165" i="6"/>
  <c r="M165" i="6" l="1"/>
  <c r="M151" i="6"/>
  <c r="A8" i="9"/>
  <c r="M154" i="6"/>
  <c r="M159" i="6"/>
  <c r="N77" i="4" l="1"/>
  <c r="N83" i="5"/>
  <c r="O83" i="5" s="1"/>
  <c r="Q83" i="5" s="1"/>
  <c r="L44" i="8" s="1"/>
  <c r="L46" i="8" s="1"/>
  <c r="N52" i="7"/>
  <c r="O52" i="7" s="1"/>
  <c r="Q52" i="7" s="1"/>
  <c r="I63" i="8" s="1"/>
  <c r="N11" i="3"/>
  <c r="N29" i="6"/>
  <c r="O29" i="6" s="1"/>
  <c r="N7" i="5"/>
  <c r="O7" i="5" s="1"/>
  <c r="N87" i="5"/>
  <c r="O87" i="5" s="1"/>
  <c r="N74" i="6"/>
  <c r="O74" i="6" s="1"/>
  <c r="N44" i="4"/>
  <c r="O44" i="4" s="1"/>
  <c r="N23" i="4"/>
  <c r="O23" i="4" s="1"/>
  <c r="Q23" i="4" s="1"/>
  <c r="E27" i="8" s="1"/>
  <c r="E29" i="8" s="1"/>
  <c r="N44" i="7"/>
  <c r="O44" i="7" s="1"/>
  <c r="N14" i="6"/>
  <c r="O14" i="6" s="1"/>
  <c r="N15" i="7"/>
  <c r="O15" i="7" s="1"/>
  <c r="N35" i="5"/>
  <c r="O35" i="5" s="1"/>
  <c r="N20" i="4"/>
  <c r="O20" i="4" s="1"/>
  <c r="N8" i="6"/>
  <c r="O8" i="6" s="1"/>
  <c r="N42" i="5"/>
  <c r="O42" i="5" s="1"/>
  <c r="N82" i="4"/>
  <c r="O82" i="4" s="1"/>
  <c r="N38" i="4"/>
  <c r="O38" i="4" s="1"/>
  <c r="N59" i="4"/>
  <c r="N81" i="4"/>
  <c r="O81" i="4" s="1"/>
  <c r="N73" i="4"/>
  <c r="O73" i="4" s="1"/>
  <c r="N36" i="4"/>
  <c r="O36" i="4" s="1"/>
  <c r="N57" i="4"/>
  <c r="O57" i="4" s="1"/>
  <c r="N47" i="5"/>
  <c r="O47" i="5" s="1"/>
  <c r="N47" i="4"/>
  <c r="O47" i="4" s="1"/>
  <c r="N63" i="6"/>
  <c r="O63" i="6" s="1"/>
  <c r="N107" i="6"/>
  <c r="O107" i="6" s="1"/>
  <c r="N18" i="5"/>
  <c r="O18" i="5" s="1"/>
  <c r="N9" i="3"/>
  <c r="O9" i="3" s="1"/>
  <c r="N40" i="6"/>
  <c r="O40" i="6" s="1"/>
  <c r="N94" i="6"/>
  <c r="N115" i="4"/>
  <c r="O115" i="4" s="1"/>
  <c r="N16" i="3"/>
  <c r="O16" i="3" s="1"/>
  <c r="Q16" i="3" s="1"/>
  <c r="D20" i="8" s="1"/>
  <c r="N24" i="5"/>
  <c r="O24" i="5" s="1"/>
  <c r="Q24" i="5" s="1"/>
  <c r="D44" i="8" s="1"/>
  <c r="D46" i="8" s="1"/>
  <c r="N58" i="7"/>
  <c r="O58" i="7" s="1"/>
  <c r="Q58" i="7" s="1"/>
  <c r="J63" i="8" s="1"/>
  <c r="N62" i="5"/>
  <c r="O62" i="5" s="1"/>
  <c r="Q62" i="5" s="1"/>
  <c r="G44" i="8" s="1"/>
  <c r="G46" i="8" s="1"/>
  <c r="N64" i="7"/>
  <c r="O64" i="7" s="1"/>
  <c r="Q64" i="7" s="1"/>
  <c r="K63" i="8" s="1"/>
  <c r="N74" i="4"/>
  <c r="O74" i="4" s="1"/>
  <c r="N46" i="4"/>
  <c r="O46" i="4" s="1"/>
  <c r="N101" i="6"/>
  <c r="O101" i="6" s="1"/>
  <c r="N69" i="6"/>
  <c r="O69" i="6" s="1"/>
  <c r="N54" i="6"/>
  <c r="O54" i="6" s="1"/>
  <c r="N36" i="6"/>
  <c r="O36" i="6" s="1"/>
  <c r="Q36" i="6" s="1"/>
  <c r="F53" i="8" s="1"/>
  <c r="F55" i="8" s="1"/>
  <c r="N49" i="4"/>
  <c r="O49" i="4" s="1"/>
  <c r="N17" i="5"/>
  <c r="O17" i="5" s="1"/>
  <c r="N114" i="4"/>
  <c r="O114" i="4" s="1"/>
  <c r="N22" i="7"/>
  <c r="O22" i="7" s="1"/>
  <c r="N72" i="4"/>
  <c r="O72" i="4" s="1"/>
  <c r="N104" i="6"/>
  <c r="O104" i="6" s="1"/>
  <c r="Q104" i="6" s="1"/>
  <c r="N53" i="8" s="1"/>
  <c r="N55" i="8" s="1"/>
  <c r="N41" i="6"/>
  <c r="O41" i="6" s="1"/>
  <c r="Q41" i="6" s="1"/>
  <c r="G53" i="8" s="1"/>
  <c r="G55" i="8" s="1"/>
  <c r="N15" i="6"/>
  <c r="O15" i="6" s="1"/>
  <c r="N76" i="6"/>
  <c r="O76" i="6" s="1"/>
  <c r="Q76" i="6" s="1"/>
  <c r="L53" i="8" s="1"/>
  <c r="L55" i="8" s="1"/>
  <c r="N22" i="5"/>
  <c r="O22" i="5" s="1"/>
  <c r="N8" i="1"/>
  <c r="N13" i="6"/>
  <c r="N49" i="5"/>
  <c r="O49" i="5" s="1"/>
  <c r="Q49" i="5" s="1"/>
  <c r="E44" i="8" s="1"/>
  <c r="E46" i="8" s="1"/>
  <c r="N84" i="4"/>
  <c r="O84" i="4" s="1"/>
  <c r="N77" i="7"/>
  <c r="O77" i="7" s="1"/>
  <c r="N68" i="5"/>
  <c r="O68" i="5" s="1"/>
  <c r="N32" i="5"/>
  <c r="O32" i="5" s="1"/>
  <c r="N92" i="6"/>
  <c r="N21" i="6"/>
  <c r="O21" i="6" s="1"/>
  <c r="N91" i="6"/>
  <c r="O91" i="6" s="1"/>
  <c r="N48" i="5"/>
  <c r="O48" i="5" s="1"/>
  <c r="N77" i="5"/>
  <c r="O77" i="5" s="1"/>
  <c r="Q77" i="5" s="1"/>
  <c r="J44" i="8" s="1"/>
  <c r="J46" i="8" s="1"/>
  <c r="N36" i="5"/>
  <c r="O36" i="5" s="1"/>
  <c r="N122" i="6"/>
  <c r="N34" i="5"/>
  <c r="O34" i="5" s="1"/>
  <c r="N37" i="5"/>
  <c r="O37" i="5" s="1"/>
  <c r="N81" i="6"/>
  <c r="O81" i="6" s="1"/>
  <c r="N68" i="4"/>
  <c r="O68" i="4" s="1"/>
  <c r="N75" i="6"/>
  <c r="O75" i="6" s="1"/>
  <c r="N103" i="6"/>
  <c r="O103" i="6" s="1"/>
  <c r="N8" i="7"/>
  <c r="O8" i="7" s="1"/>
  <c r="N14" i="4"/>
  <c r="O14" i="4" s="1"/>
  <c r="N7" i="6"/>
  <c r="N45" i="7"/>
  <c r="O45" i="7" s="1"/>
  <c r="Q45" i="7" s="1"/>
  <c r="H63" i="8" s="1"/>
  <c r="N62" i="6"/>
  <c r="N39" i="5"/>
  <c r="O39" i="5" s="1"/>
  <c r="N100" i="4"/>
  <c r="O100" i="4" s="1"/>
  <c r="N74" i="5"/>
  <c r="O74" i="5" s="1"/>
  <c r="N82" i="6"/>
  <c r="O82" i="6" s="1"/>
  <c r="N119" i="6"/>
  <c r="N99" i="6"/>
  <c r="O99" i="6" s="1"/>
  <c r="N95" i="5"/>
  <c r="O95" i="5" s="1"/>
  <c r="N53" i="6"/>
  <c r="N22" i="1"/>
  <c r="N101" i="5"/>
  <c r="O101" i="5" s="1"/>
  <c r="Q101" i="5" s="1"/>
  <c r="N60" i="5"/>
  <c r="O60" i="5" s="1"/>
  <c r="N30" i="7"/>
  <c r="O30" i="7" s="1"/>
  <c r="Q30" i="7" s="1"/>
  <c r="E63" i="8" s="1"/>
  <c r="N86" i="4"/>
  <c r="O86" i="4" s="1"/>
  <c r="N97" i="6"/>
  <c r="O97" i="6" s="1"/>
  <c r="N33" i="5"/>
  <c r="O33" i="5" s="1"/>
  <c r="N88" i="4"/>
  <c r="O88" i="4" s="1"/>
  <c r="Q88" i="4" s="1"/>
  <c r="E33" i="8" s="1"/>
  <c r="E35" i="8" s="1"/>
  <c r="N27" i="6"/>
  <c r="N57" i="6"/>
  <c r="N85" i="7"/>
  <c r="O85" i="7" s="1"/>
  <c r="Q85" i="7" s="1"/>
  <c r="M63" i="8" s="1"/>
  <c r="N102" i="4"/>
  <c r="O102" i="4" s="1"/>
  <c r="Q102" i="4" s="1"/>
  <c r="I33" i="8" s="1"/>
  <c r="I35" i="8" s="1"/>
  <c r="N96" i="6"/>
  <c r="O96" i="6" s="1"/>
  <c r="N56" i="7"/>
  <c r="O56" i="7" s="1"/>
  <c r="N34" i="4"/>
  <c r="O34" i="4" s="1"/>
  <c r="N16" i="5"/>
  <c r="O16" i="5" s="1"/>
  <c r="N91" i="5"/>
  <c r="O91" i="5" s="1"/>
  <c r="N46" i="5"/>
  <c r="O46" i="5" s="1"/>
  <c r="N39" i="7"/>
  <c r="O39" i="7" s="1"/>
  <c r="N29" i="7"/>
  <c r="O29" i="7" s="1"/>
  <c r="N75" i="4"/>
  <c r="O75" i="4" s="1"/>
  <c r="N25" i="7"/>
  <c r="O25" i="7" s="1"/>
  <c r="Q25" i="7" s="1"/>
  <c r="D63" i="8" s="1"/>
  <c r="N55" i="5"/>
  <c r="O55" i="5" s="1"/>
  <c r="Q55" i="5" s="1"/>
  <c r="F44" i="8" s="1"/>
  <c r="F46" i="8" s="1"/>
  <c r="N15" i="1"/>
  <c r="N124" i="6"/>
  <c r="O124" i="6" s="1"/>
  <c r="N98" i="6"/>
  <c r="O98" i="6" s="1"/>
  <c r="N8" i="3"/>
  <c r="O8" i="3" s="1"/>
  <c r="N95" i="4"/>
  <c r="O95" i="4" s="1"/>
  <c r="N111" i="6"/>
  <c r="N18" i="7"/>
  <c r="O18" i="7" s="1"/>
  <c r="Q18" i="7" s="1"/>
  <c r="C63" i="8" s="1"/>
  <c r="N34" i="1"/>
  <c r="N118" i="6"/>
  <c r="N15" i="5"/>
  <c r="O15" i="5" s="1"/>
  <c r="N13" i="7"/>
  <c r="O13" i="7" s="1"/>
  <c r="N40" i="5"/>
  <c r="O40" i="5" s="1"/>
  <c r="N88" i="5"/>
  <c r="O88" i="5" s="1"/>
  <c r="N14" i="5"/>
  <c r="O14" i="5" s="1"/>
  <c r="N7" i="7"/>
  <c r="N81" i="5"/>
  <c r="O81" i="5" s="1"/>
  <c r="N43" i="5"/>
  <c r="O43" i="5" s="1"/>
  <c r="N16" i="7"/>
  <c r="O16" i="7" s="1"/>
  <c r="N15" i="3"/>
  <c r="O15" i="3" s="1"/>
  <c r="N70" i="6"/>
  <c r="O70" i="6" s="1"/>
  <c r="Q70" i="6" s="1"/>
  <c r="K53" i="8" s="1"/>
  <c r="K55" i="8" s="1"/>
  <c r="N41" i="5"/>
  <c r="O41" i="5" s="1"/>
  <c r="N93" i="4"/>
  <c r="O93" i="4" s="1"/>
  <c r="N53" i="5"/>
  <c r="O53" i="5" s="1"/>
  <c r="N121" i="6"/>
  <c r="N68" i="6"/>
  <c r="O68" i="6" s="1"/>
  <c r="N34" i="7"/>
  <c r="O34" i="7" s="1"/>
  <c r="N40" i="7"/>
  <c r="O40" i="7" s="1"/>
  <c r="Q40" i="7" s="1"/>
  <c r="G63" i="8" s="1"/>
  <c r="N80" i="6"/>
  <c r="N90" i="6"/>
  <c r="N85" i="4"/>
  <c r="O85" i="4" s="1"/>
  <c r="N69" i="4"/>
  <c r="O69" i="4" s="1"/>
  <c r="N23" i="7"/>
  <c r="O23" i="7" s="1"/>
  <c r="N10" i="3"/>
  <c r="O10" i="3" s="1"/>
  <c r="N62" i="7"/>
  <c r="O62" i="7" s="1"/>
  <c r="N79" i="7"/>
  <c r="O79" i="7" s="1"/>
  <c r="Q79" i="7" s="1"/>
  <c r="L63" i="8" s="1"/>
  <c r="N12" i="7"/>
  <c r="N75" i="5"/>
  <c r="O75" i="5" s="1"/>
  <c r="N24" i="7"/>
  <c r="O24" i="7" s="1"/>
  <c r="N22" i="6"/>
  <c r="O22" i="6" s="1"/>
  <c r="N38" i="5"/>
  <c r="O38" i="5" s="1"/>
  <c r="N7" i="4"/>
  <c r="N40" i="4"/>
  <c r="O40" i="4" s="1"/>
  <c r="Q40" i="4" s="1"/>
  <c r="G27" i="8" s="1"/>
  <c r="G29" i="8" s="1"/>
  <c r="N99" i="5"/>
  <c r="O99" i="5" s="1"/>
  <c r="N50" i="7"/>
  <c r="O50" i="7" s="1"/>
  <c r="N9" i="5"/>
  <c r="N102" i="6"/>
  <c r="O102" i="6" s="1"/>
  <c r="N33" i="4"/>
  <c r="O33" i="4" s="1"/>
  <c r="N89" i="5"/>
  <c r="O89" i="5" s="1"/>
  <c r="N9" i="7"/>
  <c r="N28" i="1"/>
  <c r="N76" i="4"/>
  <c r="O76" i="4" s="1"/>
  <c r="N9" i="2"/>
  <c r="O9" i="2" s="1"/>
  <c r="N29" i="4"/>
  <c r="O29" i="4" s="1"/>
  <c r="Q29" i="4" s="1"/>
  <c r="F27" i="8" s="1"/>
  <c r="F29" i="8" s="1"/>
  <c r="N35" i="4"/>
  <c r="O35" i="4" s="1"/>
  <c r="N35" i="6"/>
  <c r="O35" i="6" s="1"/>
  <c r="N35" i="7"/>
  <c r="O35" i="7" s="1"/>
  <c r="Q35" i="7" s="1"/>
  <c r="F63" i="8" s="1"/>
  <c r="N14" i="7"/>
  <c r="O14" i="7" s="1"/>
  <c r="N37" i="4"/>
  <c r="O37" i="4" s="1"/>
  <c r="N92" i="5"/>
  <c r="O92" i="5" s="1"/>
  <c r="N113" i="6"/>
  <c r="O113" i="6" s="1"/>
  <c r="N131" i="6"/>
  <c r="O131" i="6" s="1"/>
  <c r="Q131" i="6" s="1"/>
  <c r="C58" i="8" s="1"/>
  <c r="C60" i="8" s="1"/>
  <c r="N11" i="7"/>
  <c r="O11" i="7" s="1"/>
  <c r="N44" i="5"/>
  <c r="O44" i="5" s="1"/>
  <c r="N66" i="4"/>
  <c r="O66" i="4" s="1"/>
  <c r="N13" i="4"/>
  <c r="N92" i="4"/>
  <c r="N10" i="2"/>
  <c r="O10" i="2" s="1"/>
  <c r="N21" i="4"/>
  <c r="O21" i="4" s="1"/>
  <c r="N30" i="6"/>
  <c r="O30" i="6" s="1"/>
  <c r="N93" i="6"/>
  <c r="N47" i="6"/>
  <c r="O47" i="6" s="1"/>
  <c r="N45" i="5"/>
  <c r="O45" i="5" s="1"/>
  <c r="N83" i="7"/>
  <c r="O83" i="7" s="1"/>
  <c r="N13" i="5"/>
  <c r="O13" i="5" s="1"/>
  <c r="N83" i="6"/>
  <c r="O83" i="6" s="1"/>
  <c r="N21" i="5"/>
  <c r="O21" i="5" s="1"/>
  <c r="N46" i="6"/>
  <c r="N12" i="2"/>
  <c r="N116" i="4"/>
  <c r="O116" i="4" s="1"/>
  <c r="N45" i="4"/>
  <c r="O45" i="4" s="1"/>
  <c r="N123" i="6"/>
  <c r="N16" i="1"/>
  <c r="O16" i="1" s="1"/>
  <c r="N83" i="4"/>
  <c r="O83" i="4" s="1"/>
  <c r="N70" i="5"/>
  <c r="O70" i="5" s="1"/>
  <c r="Q70" i="5" s="1"/>
  <c r="I44" i="8" s="1"/>
  <c r="I46" i="8" s="1"/>
  <c r="N27" i="4"/>
  <c r="O27" i="4" s="1"/>
  <c r="N28" i="6"/>
  <c r="O28" i="6" s="1"/>
  <c r="N93" i="5"/>
  <c r="O93" i="5" s="1"/>
  <c r="N89" i="6"/>
  <c r="O89" i="6" s="1"/>
  <c r="N67" i="5"/>
  <c r="O67" i="5" s="1"/>
  <c r="N95" i="6"/>
  <c r="O95" i="6" s="1"/>
  <c r="N30" i="5"/>
  <c r="O30" i="5" s="1"/>
  <c r="N67" i="4"/>
  <c r="O67" i="4" s="1"/>
  <c r="N112" i="6"/>
  <c r="O112" i="6" s="1"/>
  <c r="N90" i="5"/>
  <c r="O90" i="5" s="1"/>
  <c r="N20" i="6"/>
  <c r="N94" i="4"/>
  <c r="O94" i="4" s="1"/>
  <c r="N19" i="5"/>
  <c r="O19" i="5" s="1"/>
  <c r="N20" i="5"/>
  <c r="O20" i="5" s="1"/>
  <c r="N100" i="6"/>
  <c r="O100" i="6" s="1"/>
  <c r="N29" i="5"/>
  <c r="O29" i="5" s="1"/>
  <c r="N9" i="1"/>
  <c r="N130" i="6"/>
  <c r="O130" i="6" s="1"/>
  <c r="N10" i="7"/>
  <c r="O10" i="7" s="1"/>
  <c r="N104" i="5"/>
  <c r="O104" i="5" s="1"/>
  <c r="N106" i="5"/>
  <c r="O106" i="5" s="1"/>
  <c r="Q106" i="5" s="1"/>
  <c r="N108" i="5" l="1"/>
  <c r="O9" i="5"/>
  <c r="C67" i="8"/>
  <c r="C71" i="8"/>
  <c r="C69" i="8"/>
  <c r="E50" i="8"/>
  <c r="E48" i="8"/>
  <c r="O59" i="4"/>
  <c r="O61" i="4" s="1"/>
  <c r="N61" i="4"/>
  <c r="N41" i="1"/>
  <c r="O9" i="1"/>
  <c r="O13" i="4"/>
  <c r="N16" i="4"/>
  <c r="O16" i="4" s="1"/>
  <c r="Q16" i="4" s="1"/>
  <c r="D27" i="8" s="1"/>
  <c r="D29" i="8" s="1"/>
  <c r="E71" i="8"/>
  <c r="E69" i="8"/>
  <c r="E67" i="8"/>
  <c r="N84" i="6"/>
  <c r="O80" i="6"/>
  <c r="O84" i="6" s="1"/>
  <c r="Q84" i="6" s="1"/>
  <c r="M53" i="8" s="1"/>
  <c r="M55" i="8" s="1"/>
  <c r="J50" i="8"/>
  <c r="J48" i="8"/>
  <c r="G69" i="8"/>
  <c r="G71" i="8"/>
  <c r="N97" i="7"/>
  <c r="N96" i="7" s="1"/>
  <c r="O7" i="7"/>
  <c r="O97" i="7" s="1"/>
  <c r="O96" i="7" s="1"/>
  <c r="O102" i="7" s="1"/>
  <c r="N9" i="6"/>
  <c r="N133" i="6" s="1"/>
  <c r="O7" i="6"/>
  <c r="O9" i="6" s="1"/>
  <c r="O28" i="1"/>
  <c r="N30" i="1"/>
  <c r="O30" i="1" s="1"/>
  <c r="Q30" i="1" s="1"/>
  <c r="F4" i="8" s="1"/>
  <c r="O22" i="1"/>
  <c r="N24" i="1"/>
  <c r="O11" i="3"/>
  <c r="N19" i="3"/>
  <c r="N141" i="6" s="1"/>
  <c r="O141" i="6" s="1"/>
  <c r="N22" i="3"/>
  <c r="J71" i="8"/>
  <c r="J69" i="8"/>
  <c r="J65" i="8" s="1"/>
  <c r="E37" i="8"/>
  <c r="E41" i="8"/>
  <c r="E39" i="8"/>
  <c r="F67" i="8"/>
  <c r="F69" i="8"/>
  <c r="F71" i="8"/>
  <c r="D22" i="8"/>
  <c r="D24" i="8"/>
  <c r="O92" i="4"/>
  <c r="O96" i="4" s="1"/>
  <c r="Q96" i="4" s="1"/>
  <c r="H33" i="8" s="1"/>
  <c r="H35" i="8" s="1"/>
  <c r="N96" i="4"/>
  <c r="N104" i="4" s="1"/>
  <c r="N114" i="6"/>
  <c r="O111" i="6"/>
  <c r="O114" i="6" s="1"/>
  <c r="Q114" i="6" s="1"/>
  <c r="O53" i="8" s="1"/>
  <c r="O55" i="8" s="1"/>
  <c r="O15" i="1"/>
  <c r="O18" i="1" s="1"/>
  <c r="Q18" i="1" s="1"/>
  <c r="D4" i="8" s="1"/>
  <c r="N18" i="1"/>
  <c r="M67" i="8"/>
  <c r="M71" i="8"/>
  <c r="M69" i="8"/>
  <c r="K67" i="8"/>
  <c r="K69" i="8"/>
  <c r="K71" i="8"/>
  <c r="L48" i="8"/>
  <c r="L50" i="8"/>
  <c r="N31" i="6"/>
  <c r="O27" i="6"/>
  <c r="O31" i="6" s="1"/>
  <c r="Q31" i="6" s="1"/>
  <c r="D48" i="8"/>
  <c r="D50" i="8"/>
  <c r="N36" i="1"/>
  <c r="O36" i="1" s="1"/>
  <c r="Q36" i="1" s="1"/>
  <c r="G4" i="8" s="1"/>
  <c r="G12" i="8" s="1"/>
  <c r="G6" i="8" s="1"/>
  <c r="O34" i="1"/>
  <c r="N18" i="2"/>
  <c r="O12" i="2"/>
  <c r="N16" i="2"/>
  <c r="N15" i="2" s="1"/>
  <c r="N140" i="6" s="1"/>
  <c r="O140" i="6" s="1"/>
  <c r="N16" i="6"/>
  <c r="O13" i="6"/>
  <c r="O16" i="6" s="1"/>
  <c r="O46" i="6"/>
  <c r="O48" i="6" s="1"/>
  <c r="Q48" i="6" s="1"/>
  <c r="H53" i="8" s="1"/>
  <c r="H55" i="8" s="1"/>
  <c r="N48" i="6"/>
  <c r="O7" i="4"/>
  <c r="N9" i="4"/>
  <c r="N64" i="6"/>
  <c r="O62" i="6"/>
  <c r="O64" i="6" s="1"/>
  <c r="Q64" i="6" s="1"/>
  <c r="J53" i="8" s="1"/>
  <c r="J55" i="8" s="1"/>
  <c r="O8" i="1"/>
  <c r="N40" i="1"/>
  <c r="N11" i="1"/>
  <c r="H69" i="8"/>
  <c r="H67" i="8"/>
  <c r="H71" i="8"/>
  <c r="N98" i="7"/>
  <c r="O9" i="7"/>
  <c r="O98" i="7" s="1"/>
  <c r="I39" i="8"/>
  <c r="I37" i="8"/>
  <c r="I41" i="8"/>
  <c r="N58" i="6"/>
  <c r="O53" i="6"/>
  <c r="I69" i="8"/>
  <c r="I67" i="8"/>
  <c r="I71" i="8"/>
  <c r="I50" i="8"/>
  <c r="I48" i="8"/>
  <c r="N99" i="7"/>
  <c r="O12" i="7"/>
  <c r="O99" i="7" s="1"/>
  <c r="F48" i="8"/>
  <c r="F50" i="8"/>
  <c r="O20" i="6"/>
  <c r="O23" i="6" s="1"/>
  <c r="Q23" i="6" s="1"/>
  <c r="N23" i="6"/>
  <c r="L69" i="8"/>
  <c r="L71" i="8"/>
  <c r="L67" i="8"/>
  <c r="L65" i="8" s="1"/>
  <c r="D71" i="8"/>
  <c r="D67" i="8"/>
  <c r="D69" i="8"/>
  <c r="O57" i="6"/>
  <c r="Q57" i="6"/>
  <c r="G50" i="8"/>
  <c r="G48" i="8"/>
  <c r="O77" i="4"/>
  <c r="N102" i="7" l="1"/>
  <c r="N146" i="6"/>
  <c r="O146" i="6" s="1"/>
  <c r="Q16" i="6"/>
  <c r="C53" i="8" s="1"/>
  <c r="C55" i="8" s="1"/>
  <c r="N126" i="6"/>
  <c r="N135" i="6" s="1"/>
  <c r="O24" i="1"/>
  <c r="N42" i="1"/>
  <c r="N45" i="1"/>
  <c r="N139" i="6" s="1"/>
  <c r="B69" i="8"/>
  <c r="N43" i="1"/>
  <c r="F8" i="8"/>
  <c r="F10" i="8"/>
  <c r="F12" i="8"/>
  <c r="F6" i="8" s="1"/>
  <c r="E65" i="8"/>
  <c r="B71" i="8"/>
  <c r="F58" i="8"/>
  <c r="F60" i="8" s="1"/>
  <c r="E53" i="8"/>
  <c r="E55" i="8" s="1"/>
  <c r="O41" i="1"/>
  <c r="K65" i="8"/>
  <c r="O133" i="6"/>
  <c r="B60" i="8" s="1"/>
  <c r="Q9" i="6"/>
  <c r="N51" i="4"/>
  <c r="N106" i="4" s="1"/>
  <c r="N142" i="6" s="1"/>
  <c r="O142" i="6" s="1"/>
  <c r="O9" i="4"/>
  <c r="N109" i="4"/>
  <c r="D8" i="8"/>
  <c r="D10" i="8"/>
  <c r="R57" i="6"/>
  <c r="S57" i="6"/>
  <c r="G65" i="8"/>
  <c r="H37" i="8"/>
  <c r="H39" i="8"/>
  <c r="H41" i="8"/>
  <c r="D65" i="8"/>
  <c r="H65" i="8"/>
  <c r="Q11" i="3"/>
  <c r="C20" i="8" s="1"/>
  <c r="O19" i="3"/>
  <c r="O22" i="3"/>
  <c r="I65" i="8"/>
  <c r="Q12" i="2"/>
  <c r="C15" i="8" s="1"/>
  <c r="C17" i="8" s="1"/>
  <c r="B17" i="8" s="1"/>
  <c r="O16" i="2"/>
  <c r="O15" i="2" s="1"/>
  <c r="O18" i="2"/>
  <c r="O58" i="6"/>
  <c r="Q58" i="6" s="1"/>
  <c r="I53" i="8" s="1"/>
  <c r="I55" i="8" s="1"/>
  <c r="O11" i="1"/>
  <c r="O40" i="1"/>
  <c r="F65" i="8"/>
  <c r="C65" i="8"/>
  <c r="B65" i="8" s="1"/>
  <c r="B74" i="8" s="1"/>
  <c r="B67" i="8"/>
  <c r="O104" i="4"/>
  <c r="B35" i="8" s="1"/>
  <c r="Q77" i="4"/>
  <c r="C33" i="8" s="1"/>
  <c r="C35" i="8" s="1"/>
  <c r="M65" i="8"/>
  <c r="O108" i="5"/>
  <c r="Q9" i="5"/>
  <c r="C44" i="8" s="1"/>
  <c r="C46" i="8" s="1"/>
  <c r="D53" i="8"/>
  <c r="D55" i="8" s="1"/>
  <c r="E58" i="8"/>
  <c r="E60" i="8" s="1"/>
  <c r="N144" i="6"/>
  <c r="O144" i="6" s="1"/>
  <c r="N111" i="5"/>
  <c r="C22" i="8" l="1"/>
  <c r="B22" i="8" s="1"/>
  <c r="C24" i="8"/>
  <c r="B24" i="8" s="1"/>
  <c r="O109" i="4"/>
  <c r="O51" i="4"/>
  <c r="Q9" i="4"/>
  <c r="C27" i="8" s="1"/>
  <c r="C29" i="8" s="1"/>
  <c r="O43" i="1"/>
  <c r="N148" i="6"/>
  <c r="O139" i="6"/>
  <c r="O45" i="1"/>
  <c r="Q11" i="1"/>
  <c r="Q133" i="6"/>
  <c r="D58" i="8"/>
  <c r="D60" i="8" s="1"/>
  <c r="Q24" i="1"/>
  <c r="E4" i="8" s="1"/>
  <c r="O42" i="1"/>
  <c r="N145" i="6"/>
  <c r="O145" i="6" s="1"/>
  <c r="O135" i="6"/>
  <c r="C48" i="8"/>
  <c r="B48" i="8" s="1"/>
  <c r="C50" i="8"/>
  <c r="B50" i="8" s="1"/>
  <c r="S144" i="6"/>
  <c r="T144" i="6" s="1"/>
  <c r="B46" i="8"/>
  <c r="O111" i="5"/>
  <c r="O126" i="6"/>
  <c r="B55" i="8" s="1"/>
  <c r="G74" i="8"/>
  <c r="U151" i="6"/>
  <c r="V151" i="6" s="1"/>
  <c r="C37" i="8"/>
  <c r="B37" i="8" s="1"/>
  <c r="C39" i="8"/>
  <c r="B39" i="8" s="1"/>
  <c r="C41" i="8"/>
  <c r="B41" i="8" s="1"/>
  <c r="D6" i="8"/>
  <c r="N165" i="6" l="1"/>
  <c r="O152" i="6"/>
  <c r="O150" i="6"/>
  <c r="K150" i="6"/>
  <c r="C4" i="8"/>
  <c r="T11" i="1"/>
  <c r="O148" i="6"/>
  <c r="U150" i="6"/>
  <c r="V150" i="6" s="1"/>
  <c r="O106" i="4"/>
  <c r="B29" i="8"/>
  <c r="E8" i="8"/>
  <c r="E10" i="8"/>
  <c r="E12" i="8"/>
  <c r="I22" i="8"/>
  <c r="F76" i="8" l="1"/>
  <c r="R148" i="6"/>
  <c r="O165" i="6"/>
  <c r="AB76" i="8"/>
  <c r="AB77" i="8" s="1"/>
  <c r="C10" i="8"/>
  <c r="B10" i="8" s="1"/>
  <c r="C8" i="8"/>
  <c r="B12" i="8"/>
  <c r="E6" i="8"/>
  <c r="C6" i="8" l="1"/>
  <c r="B6" i="8" s="1"/>
  <c r="B73" i="8" s="1"/>
  <c r="B76" i="8" s="1"/>
  <c r="B8" i="8"/>
  <c r="I12" i="8" s="1"/>
  <c r="O151" i="6" l="1"/>
  <c r="P151" i="6" s="1"/>
  <c r="B77" i="8"/>
  <c r="B79" i="8" s="1"/>
  <c r="C77" i="8"/>
  <c r="G76" i="8"/>
  <c r="V76" i="8"/>
  <c r="T79" i="8"/>
</calcChain>
</file>

<file path=xl/sharedStrings.xml><?xml version="1.0" encoding="utf-8"?>
<sst xmlns="http://schemas.openxmlformats.org/spreadsheetml/2006/main" count="3063" uniqueCount="1582">
  <si>
    <t>REG NO</t>
  </si>
  <si>
    <t>DESCRIPTION</t>
  </si>
  <si>
    <t>VOTE</t>
  </si>
  <si>
    <t>DISTANCE</t>
  </si>
  <si>
    <t>FUEL</t>
  </si>
  <si>
    <t>INSURANCE</t>
  </si>
  <si>
    <t>MATERIAL</t>
  </si>
  <si>
    <t>DEPRECIATION</t>
  </si>
  <si>
    <t>RENTAL</t>
  </si>
  <si>
    <t>LIC</t>
  </si>
  <si>
    <t>TAR/CODE</t>
  </si>
  <si>
    <t>TARIFF</t>
  </si>
  <si>
    <t>SUB TOTAL</t>
  </si>
  <si>
    <t>SUNDRY</t>
  </si>
  <si>
    <t>TOTAL</t>
  </si>
  <si>
    <t>TRAILERS</t>
  </si>
  <si>
    <t>TRAILER</t>
  </si>
  <si>
    <t>TRACTORS</t>
  </si>
  <si>
    <t>SUMMARY</t>
  </si>
  <si>
    <t>MM</t>
  </si>
  <si>
    <t>EEM</t>
  </si>
  <si>
    <t>CEM</t>
  </si>
  <si>
    <t>MDC</t>
  </si>
  <si>
    <t>GRANT TOTAL</t>
  </si>
  <si>
    <t>DLV 326 N</t>
  </si>
  <si>
    <t>JCB</t>
  </si>
  <si>
    <t>MACHINERY</t>
  </si>
  <si>
    <t>FORD TRACTOR</t>
  </si>
  <si>
    <t>RAMSOMES</t>
  </si>
  <si>
    <t>HERSOFAM</t>
  </si>
  <si>
    <t>CS</t>
  </si>
  <si>
    <t>COMPRESSOR</t>
  </si>
  <si>
    <t>TRUCKS H/VEH</t>
  </si>
  <si>
    <t>TRUCKS M/VEH</t>
  </si>
  <si>
    <t>STORES</t>
  </si>
  <si>
    <t>W/SHOP</t>
  </si>
  <si>
    <t>?</t>
  </si>
  <si>
    <t>LOWBED TRAILER</t>
  </si>
  <si>
    <t>TRAILORS</t>
  </si>
  <si>
    <t>063</t>
  </si>
  <si>
    <t>103</t>
  </si>
  <si>
    <t>105</t>
  </si>
  <si>
    <t>133/134/135</t>
  </si>
  <si>
    <t>MDC05</t>
  </si>
  <si>
    <t>037/066/1222</t>
  </si>
  <si>
    <t>105/066/1222</t>
  </si>
  <si>
    <t>134/066/1222</t>
  </si>
  <si>
    <t>135/066/1222</t>
  </si>
  <si>
    <t>133/066/1222</t>
  </si>
  <si>
    <t>173/066/1222</t>
  </si>
  <si>
    <t>183/066/1222</t>
  </si>
  <si>
    <t>total</t>
  </si>
  <si>
    <t>70%</t>
  </si>
  <si>
    <t>30%</t>
  </si>
  <si>
    <t>063/066/1222</t>
  </si>
  <si>
    <t>103/066/1222</t>
  </si>
  <si>
    <t>073/066/1222</t>
  </si>
  <si>
    <t>083/066/1222</t>
  </si>
  <si>
    <t>093/066/1222</t>
  </si>
  <si>
    <t>totaal</t>
  </si>
  <si>
    <t>TOTAL TZN</t>
  </si>
  <si>
    <t>TOTAL MDC</t>
  </si>
  <si>
    <t>GRAND TOTAL</t>
  </si>
  <si>
    <t>km/l</t>
  </si>
  <si>
    <t>BOMAG</t>
  </si>
  <si>
    <t>WINGET DUMPER</t>
  </si>
  <si>
    <t>TOYOTA DYNAPAC</t>
  </si>
  <si>
    <t>GALLION</t>
  </si>
  <si>
    <t>WRIGHT 120G</t>
  </si>
  <si>
    <t>ATLAS COPCO</t>
  </si>
  <si>
    <t>MASSEY FERGUSON</t>
  </si>
  <si>
    <t>WELDER TRAILER</t>
  </si>
  <si>
    <t>WORKSHOP</t>
  </si>
  <si>
    <t>COMMUNITY SERVICES</t>
  </si>
  <si>
    <t>037</t>
  </si>
  <si>
    <t>173/183</t>
  </si>
  <si>
    <t>073/083/093</t>
  </si>
  <si>
    <t>037/078/1325</t>
  </si>
  <si>
    <t>037/078/1327</t>
  </si>
  <si>
    <t>037/066/1219</t>
  </si>
  <si>
    <t>037/064/1091</t>
  </si>
  <si>
    <t>037/078/1335</t>
  </si>
  <si>
    <t>037/066/1220</t>
  </si>
  <si>
    <t>037/078/1331</t>
  </si>
  <si>
    <t>003/066/1222</t>
  </si>
  <si>
    <t>006/066/1222</t>
  </si>
  <si>
    <t>003</t>
  </si>
  <si>
    <t>006</t>
  </si>
  <si>
    <t>DLF 729 N [103]</t>
  </si>
  <si>
    <t>UD 80 NISSAN</t>
  </si>
  <si>
    <t>nissan ud 70</t>
  </si>
  <si>
    <t>FHX 724 N [073]</t>
  </si>
  <si>
    <t>073</t>
  </si>
  <si>
    <t>083</t>
  </si>
  <si>
    <t>093</t>
  </si>
  <si>
    <t>BRS 390 L</t>
  </si>
  <si>
    <t>BSC 248 L</t>
  </si>
  <si>
    <t>BSC 243 L</t>
  </si>
  <si>
    <t>BSJ 334 L</t>
  </si>
  <si>
    <t>BST 681 L</t>
  </si>
  <si>
    <t>BSS 223 L</t>
  </si>
  <si>
    <t>SEDAN</t>
  </si>
  <si>
    <t>COMPACTOR - NISSAN DIESSEL</t>
  </si>
  <si>
    <t>UD 85 NISSAN</t>
  </si>
  <si>
    <t>V0103</t>
  </si>
  <si>
    <t>V0111</t>
  </si>
  <si>
    <t>V0112</t>
  </si>
  <si>
    <t>V0115</t>
  </si>
  <si>
    <t>V0116</t>
  </si>
  <si>
    <t>V0124</t>
  </si>
  <si>
    <t>V0125</t>
  </si>
  <si>
    <t>V0128</t>
  </si>
  <si>
    <t>V0134</t>
  </si>
  <si>
    <t>V0135</t>
  </si>
  <si>
    <t>V0136</t>
  </si>
  <si>
    <t>V0139</t>
  </si>
  <si>
    <t>V0143</t>
  </si>
  <si>
    <t>V0144</t>
  </si>
  <si>
    <t>V0145</t>
  </si>
  <si>
    <t>V0148</t>
  </si>
  <si>
    <t xml:space="preserve">MACHINERY </t>
  </si>
  <si>
    <t>DUMPER</t>
  </si>
  <si>
    <t>honey sucker - NISSAN DIESEL</t>
  </si>
  <si>
    <t>watertenker - NISSAN DIESEL</t>
  </si>
  <si>
    <t>BC2025 [063]</t>
  </si>
  <si>
    <t>BC3890 [063]</t>
  </si>
  <si>
    <t>BC2019 [063]</t>
  </si>
  <si>
    <t>BC4085 [063]</t>
  </si>
  <si>
    <t>DMS 569 N [063]</t>
  </si>
  <si>
    <t>DLF 737 N [063]</t>
  </si>
  <si>
    <t>FUEL             037-078-1325</t>
  </si>
  <si>
    <t>INSURANCE             037-078-1327</t>
  </si>
  <si>
    <t>MATERIAL             037-066-1219</t>
  </si>
  <si>
    <t>RENTAL             037-078-1331</t>
  </si>
  <si>
    <t>LICENCE             037-078-1335</t>
  </si>
  <si>
    <t>RECOVERY             037-056-1043</t>
  </si>
  <si>
    <t>SUNDRY             037-066-1220</t>
  </si>
  <si>
    <t>DEPRECIATION              037-064-1091</t>
  </si>
  <si>
    <t>RENTAL                  037-078-1331</t>
  </si>
  <si>
    <t>LICENCE                037-078-1335</t>
  </si>
  <si>
    <t>FUEL                           037-078-1325</t>
  </si>
  <si>
    <t>SUNDRY                    037-066-1220</t>
  </si>
  <si>
    <t>FUEL                        037-078-1325</t>
  </si>
  <si>
    <t>FUEL                  037-078-1325</t>
  </si>
  <si>
    <t>RENTAL                                                           037-078-1331</t>
  </si>
  <si>
    <t>FUEL                          037-078-1325</t>
  </si>
  <si>
    <t>SUNDRY                 037-066-1220</t>
  </si>
  <si>
    <t>MATERIAL                      037-066-1219</t>
  </si>
  <si>
    <t>V0149</t>
  </si>
  <si>
    <t>034</t>
  </si>
  <si>
    <t>BZN 604 L</t>
  </si>
  <si>
    <t>veh no</t>
  </si>
  <si>
    <t>amount</t>
  </si>
  <si>
    <t>7mde total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</si>
  <si>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</si>
  <si>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</si>
  <si>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</si>
  <si>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</si>
  <si>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</si>
  <si>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</si>
  <si>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</si>
  <si>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</si>
  <si>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</si>
  <si>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</si>
  <si>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</si>
  <si>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</si>
  <si>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</si>
  <si>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</si>
  <si>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</si>
  <si>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</si>
  <si>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</si>
  <si>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</si>
  <si>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</si>
  <si>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</si>
  <si>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</si>
  <si>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</si>
  <si>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</si>
  <si>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</si>
  <si>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294</t>
  </si>
  <si>
    <t>295</t>
  </si>
  <si>
    <t>296</t>
  </si>
  <si>
    <t>297</t>
  </si>
  <si>
    <t>/5</t>
  </si>
  <si>
    <t>7mde delging</t>
  </si>
  <si>
    <t>7mde rente</t>
  </si>
  <si>
    <t>delging 12 mnd</t>
  </si>
  <si>
    <t>rente 12mnd</t>
  </si>
  <si>
    <t>12mnd</t>
  </si>
  <si>
    <t>INTEREST</t>
  </si>
  <si>
    <t>DISPOSALS</t>
  </si>
  <si>
    <t>CATERPILLAR</t>
  </si>
  <si>
    <t>CFC 703 L</t>
  </si>
  <si>
    <t>CFC 704 L</t>
  </si>
  <si>
    <t>034/066/1222</t>
  </si>
  <si>
    <t>V0151</t>
  </si>
  <si>
    <t>057/066/1222</t>
  </si>
  <si>
    <t>057</t>
  </si>
  <si>
    <t>dept</t>
  </si>
  <si>
    <t>type</t>
  </si>
  <si>
    <t>2x4 LDV</t>
  </si>
  <si>
    <t>4X4 LDV</t>
  </si>
  <si>
    <t>4x4 LDV</t>
  </si>
  <si>
    <t>4 TON TRUCK</t>
  </si>
  <si>
    <t>WATER TANKER</t>
  </si>
  <si>
    <r>
      <t>21</t>
    </r>
    <r>
      <rPr>
        <sz val="8"/>
        <rFont val="Consolas"/>
        <family val="3"/>
      </rPr>
      <t>m³</t>
    </r>
    <r>
      <rPr>
        <sz val="8"/>
        <rFont val="Arial"/>
        <family val="2"/>
      </rPr>
      <t xml:space="preserve"> COMPACTOR</t>
    </r>
  </si>
  <si>
    <t>COMBI</t>
  </si>
  <si>
    <t>COM SERV</t>
  </si>
  <si>
    <t>SID</t>
  </si>
  <si>
    <t>ESI</t>
  </si>
  <si>
    <t>SUV</t>
  </si>
  <si>
    <t>2c 2x4 LDV</t>
  </si>
  <si>
    <t>6a CREW CAB</t>
  </si>
  <si>
    <t>3a 4x4 LDV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</si>
  <si>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</si>
  <si>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</si>
  <si>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</si>
  <si>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</si>
  <si>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</si>
  <si>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</si>
  <si>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</si>
  <si>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</si>
  <si>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</si>
  <si>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</si>
  <si>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</si>
  <si>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</si>
  <si>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</si>
  <si>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6c 4 TON CHERRY PICKER</t>
  </si>
  <si>
    <t>659</t>
  </si>
  <si>
    <t>661</t>
  </si>
  <si>
    <t>662</t>
  </si>
  <si>
    <t>663</t>
  </si>
  <si>
    <t>674</t>
  </si>
  <si>
    <t>675</t>
  </si>
  <si>
    <t>8b 8 TON TRUCK</t>
  </si>
  <si>
    <t>682</t>
  </si>
  <si>
    <t>683</t>
  </si>
  <si>
    <t>684</t>
  </si>
  <si>
    <t>3b 4x4 LDV</t>
  </si>
  <si>
    <t>V0152</t>
  </si>
  <si>
    <t>153</t>
  </si>
  <si>
    <t>veh</t>
  </si>
  <si>
    <t>model</t>
  </si>
  <si>
    <t>ITEM NO</t>
  </si>
  <si>
    <t>AMOUNT</t>
  </si>
  <si>
    <t>12 MONTHS</t>
  </si>
  <si>
    <t>km budget</t>
  </si>
  <si>
    <t>km actual 2010/2011</t>
  </si>
  <si>
    <t>budget 2012/2013</t>
  </si>
  <si>
    <t>price</t>
  </si>
  <si>
    <t>rental</t>
  </si>
  <si>
    <t>inter</t>
  </si>
  <si>
    <t>depre</t>
  </si>
  <si>
    <t>insurance</t>
  </si>
  <si>
    <t>lic</t>
  </si>
  <si>
    <t>1</t>
  </si>
  <si>
    <t>602</t>
  </si>
  <si>
    <t>133</t>
  </si>
  <si>
    <t>2a</t>
  </si>
  <si>
    <t>simpson motors</t>
  </si>
  <si>
    <t>603</t>
  </si>
  <si>
    <t>2b</t>
  </si>
  <si>
    <t>604</t>
  </si>
  <si>
    <t>4</t>
  </si>
  <si>
    <t>605</t>
  </si>
  <si>
    <t>5</t>
  </si>
  <si>
    <t>642</t>
  </si>
  <si>
    <t>3b</t>
  </si>
  <si>
    <t>bb motors</t>
  </si>
  <si>
    <t>608</t>
  </si>
  <si>
    <t>2c</t>
  </si>
  <si>
    <t>7</t>
  </si>
  <si>
    <t>609</t>
  </si>
  <si>
    <t>610</t>
  </si>
  <si>
    <t>9</t>
  </si>
  <si>
    <t>611</t>
  </si>
  <si>
    <t>10</t>
  </si>
  <si>
    <t>612</t>
  </si>
  <si>
    <t>613</t>
  </si>
  <si>
    <t>606</t>
  </si>
  <si>
    <t>643</t>
  </si>
  <si>
    <t>614</t>
  </si>
  <si>
    <t>15</t>
  </si>
  <si>
    <t>628</t>
  </si>
  <si>
    <t>173</t>
  </si>
  <si>
    <t>3a</t>
  </si>
  <si>
    <t>601</t>
  </si>
  <si>
    <t>649</t>
  </si>
  <si>
    <t>292</t>
  </si>
  <si>
    <t>ntt toyota</t>
  </si>
  <si>
    <t>650</t>
  </si>
  <si>
    <t>293</t>
  </si>
  <si>
    <t>656</t>
  </si>
  <si>
    <t>6a</t>
  </si>
  <si>
    <t>657</t>
  </si>
  <si>
    <t>658</t>
  </si>
  <si>
    <t>687</t>
  </si>
  <si>
    <t>688</t>
  </si>
  <si>
    <t>298</t>
  </si>
  <si>
    <t>32</t>
  </si>
  <si>
    <t>644</t>
  </si>
  <si>
    <t>648</t>
  </si>
  <si>
    <t>3c</t>
  </si>
  <si>
    <t>44</t>
  </si>
  <si>
    <t>6c</t>
  </si>
  <si>
    <t>45</t>
  </si>
  <si>
    <t>660</t>
  </si>
  <si>
    <t>46</t>
  </si>
  <si>
    <t>47</t>
  </si>
  <si>
    <t>48</t>
  </si>
  <si>
    <t>49</t>
  </si>
  <si>
    <t>51</t>
  </si>
  <si>
    <t>8c</t>
  </si>
  <si>
    <t>52</t>
  </si>
  <si>
    <t>53</t>
  </si>
  <si>
    <t>8b</t>
  </si>
  <si>
    <t>55</t>
  </si>
  <si>
    <t>664</t>
  </si>
  <si>
    <t>72</t>
  </si>
  <si>
    <t>665</t>
  </si>
  <si>
    <t>73</t>
  </si>
  <si>
    <t>666</t>
  </si>
  <si>
    <t>74</t>
  </si>
  <si>
    <t>667</t>
  </si>
  <si>
    <t>75</t>
  </si>
  <si>
    <t>686</t>
  </si>
  <si>
    <t>115</t>
  </si>
  <si>
    <t>8e</t>
  </si>
  <si>
    <t>673</t>
  </si>
  <si>
    <t>116</t>
  </si>
  <si>
    <t>6b</t>
  </si>
  <si>
    <t>668</t>
  </si>
  <si>
    <t>128</t>
  </si>
  <si>
    <t>129</t>
  </si>
  <si>
    <t>679</t>
  </si>
  <si>
    <t>131</t>
  </si>
  <si>
    <t>8a</t>
  </si>
  <si>
    <t>669</t>
  </si>
  <si>
    <t>138</t>
  </si>
  <si>
    <t>615</t>
  </si>
  <si>
    <t>142</t>
  </si>
  <si>
    <t>616</t>
  </si>
  <si>
    <t>143</t>
  </si>
  <si>
    <t>617</t>
  </si>
  <si>
    <t>144</t>
  </si>
  <si>
    <t>618</t>
  </si>
  <si>
    <t>145</t>
  </si>
  <si>
    <t>645</t>
  </si>
  <si>
    <t>152</t>
  </si>
  <si>
    <t>646</t>
  </si>
  <si>
    <t>647</t>
  </si>
  <si>
    <t>154</t>
  </si>
  <si>
    <t>651</t>
  </si>
  <si>
    <t>155</t>
  </si>
  <si>
    <t>652</t>
  </si>
  <si>
    <t>156</t>
  </si>
  <si>
    <t>607</t>
  </si>
  <si>
    <t>158</t>
  </si>
  <si>
    <t>619</t>
  </si>
  <si>
    <t>159</t>
  </si>
  <si>
    <t>620</t>
  </si>
  <si>
    <t>160</t>
  </si>
  <si>
    <t>621</t>
  </si>
  <si>
    <t>161</t>
  </si>
  <si>
    <t>622</t>
  </si>
  <si>
    <t>162</t>
  </si>
  <si>
    <t>676</t>
  </si>
  <si>
    <t>168</t>
  </si>
  <si>
    <t>677</t>
  </si>
  <si>
    <t>169</t>
  </si>
  <si>
    <t>678</t>
  </si>
  <si>
    <t>170</t>
  </si>
  <si>
    <t>623</t>
  </si>
  <si>
    <t>253</t>
  </si>
  <si>
    <t>624</t>
  </si>
  <si>
    <t>254</t>
  </si>
  <si>
    <t>625</t>
  </si>
  <si>
    <t>255</t>
  </si>
  <si>
    <t>626</t>
  </si>
  <si>
    <t>256</t>
  </si>
  <si>
    <t>627</t>
  </si>
  <si>
    <t>257</t>
  </si>
  <si>
    <t>260</t>
  </si>
  <si>
    <t>261</t>
  </si>
  <si>
    <t>262</t>
  </si>
  <si>
    <t>263</t>
  </si>
  <si>
    <t>685</t>
  </si>
  <si>
    <t>110</t>
  </si>
  <si>
    <t>8d</t>
  </si>
  <si>
    <t>653</t>
  </si>
  <si>
    <t>140</t>
  </si>
  <si>
    <t>654</t>
  </si>
  <si>
    <t>146</t>
  </si>
  <si>
    <t>655</t>
  </si>
  <si>
    <t>149</t>
  </si>
  <si>
    <t>680</t>
  </si>
  <si>
    <t>202</t>
  </si>
  <si>
    <t>681</t>
  </si>
  <si>
    <t>new</t>
  </si>
  <si>
    <t>670</t>
  </si>
  <si>
    <t>671</t>
  </si>
  <si>
    <t>672</t>
  </si>
  <si>
    <t>1-5 TLB</t>
  </si>
  <si>
    <t>2-5 ROLLER</t>
  </si>
  <si>
    <t>4-5 TIPPER TRUCK</t>
  </si>
  <si>
    <t>3-5 WATER TANKER</t>
  </si>
  <si>
    <t>5-5 CRANE TRUCK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</si>
  <si>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</si>
  <si>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</si>
  <si>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</si>
  <si>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</si>
  <si>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</si>
  <si>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</si>
  <si>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</si>
  <si>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</si>
  <si>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</si>
  <si>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</si>
  <si>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</si>
  <si>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1-5</t>
  </si>
  <si>
    <t>2-5</t>
  </si>
  <si>
    <t>3-5</t>
  </si>
  <si>
    <t>4-5</t>
  </si>
  <si>
    <t>5-5</t>
  </si>
  <si>
    <t xml:space="preserve">BELL EQUIPMENT </t>
  </si>
  <si>
    <t>TZN SWAARVOERTUIE</t>
  </si>
  <si>
    <t>REPUBLIC BUSH TRUCKS</t>
  </si>
  <si>
    <t>V0153</t>
  </si>
  <si>
    <t>V0154</t>
  </si>
  <si>
    <t>V0155</t>
  </si>
  <si>
    <t>V0156</t>
  </si>
  <si>
    <t>V0157</t>
  </si>
  <si>
    <t>V0158</t>
  </si>
  <si>
    <t>V0159</t>
  </si>
  <si>
    <t>V0160</t>
  </si>
  <si>
    <t>V0164</t>
  </si>
  <si>
    <t>V0167</t>
  </si>
  <si>
    <t>V0168</t>
  </si>
  <si>
    <t>V0169</t>
  </si>
  <si>
    <t>V0170</t>
  </si>
  <si>
    <t>V0171</t>
  </si>
  <si>
    <t>V0172</t>
  </si>
  <si>
    <t>V0173</t>
  </si>
  <si>
    <t>V0174</t>
  </si>
  <si>
    <t>V0175</t>
  </si>
  <si>
    <t>V0176</t>
  </si>
  <si>
    <t>V0177</t>
  </si>
  <si>
    <t>V0178</t>
  </si>
  <si>
    <t>V0179</t>
  </si>
  <si>
    <t>V0180</t>
  </si>
  <si>
    <t>V0181</t>
  </si>
  <si>
    <t>V0182</t>
  </si>
  <si>
    <t>V0183</t>
  </si>
  <si>
    <t>V0184</t>
  </si>
  <si>
    <t>V0185</t>
  </si>
  <si>
    <t>V0186</t>
  </si>
  <si>
    <t>V0187</t>
  </si>
  <si>
    <t>V0189</t>
  </si>
  <si>
    <t>60%</t>
  </si>
  <si>
    <t>10%</t>
  </si>
  <si>
    <t>Includes initial License and Registration costs</t>
  </si>
  <si>
    <t>Model</t>
  </si>
  <si>
    <t>Table</t>
  </si>
  <si>
    <t>Quote Number</t>
  </si>
  <si>
    <t>Parameters</t>
  </si>
  <si>
    <t>Monthly Rental incl VAT per vehicle</t>
  </si>
  <si>
    <t>VAT Claim</t>
  </si>
  <si>
    <t>Nissan UD 85B F/C</t>
  </si>
  <si>
    <t>8`10 A</t>
  </si>
  <si>
    <t>60 months</t>
  </si>
  <si>
    <t>Nissan UD 80B F/C</t>
  </si>
  <si>
    <t>8`10 B</t>
  </si>
  <si>
    <t>8`10 C</t>
  </si>
  <si>
    <t>8`10 D</t>
  </si>
  <si>
    <t>8`10 E</t>
  </si>
  <si>
    <t>9`10</t>
  </si>
  <si>
    <t>Toyota Dyna 4-093</t>
  </si>
  <si>
    <t>5`10</t>
  </si>
  <si>
    <t>Nissan UD 40A</t>
  </si>
  <si>
    <t>6`10 A</t>
  </si>
  <si>
    <t>6`10 B</t>
  </si>
  <si>
    <t>6`10 C</t>
  </si>
  <si>
    <t>Nissan UD 60B F/C</t>
  </si>
  <si>
    <t>7`10</t>
  </si>
  <si>
    <t>Nissan NP300 2.4i LWB 4X4</t>
  </si>
  <si>
    <t>3`10 A</t>
  </si>
  <si>
    <t>3`10 B</t>
  </si>
  <si>
    <t>3`10 C</t>
  </si>
  <si>
    <t>Toyota Quantum 2.7 14 seater bus</t>
  </si>
  <si>
    <t>4`10</t>
  </si>
  <si>
    <t>Chevrolet Aveo 1.6 L</t>
  </si>
  <si>
    <t>1`10</t>
  </si>
  <si>
    <t>Isuzu KB200i LWB Fleetside</t>
  </si>
  <si>
    <t>2`10 A</t>
  </si>
  <si>
    <t>2`10 B</t>
  </si>
  <si>
    <t>2`10 C</t>
  </si>
  <si>
    <t>NEW VEH</t>
  </si>
  <si>
    <t>CLW 529 L</t>
  </si>
  <si>
    <t>CLW 557 L</t>
  </si>
  <si>
    <t>CLW 563 L</t>
  </si>
  <si>
    <t>CLW 565 L</t>
  </si>
  <si>
    <t>CLW 523 L</t>
  </si>
  <si>
    <t>CLW 862 L</t>
  </si>
  <si>
    <t>CLW 860 L</t>
  </si>
  <si>
    <t>CLW 856 L</t>
  </si>
  <si>
    <t>CLW 831 L</t>
  </si>
  <si>
    <t>CLW 837 L</t>
  </si>
  <si>
    <t>CLW 840 L</t>
  </si>
  <si>
    <t>CLW 864 L</t>
  </si>
  <si>
    <t>CLW 845 L</t>
  </si>
  <si>
    <t>CLW 849 L</t>
  </si>
  <si>
    <t>CLW 537 L</t>
  </si>
  <si>
    <t>CLW 553 L</t>
  </si>
  <si>
    <t>CLW 533 L</t>
  </si>
  <si>
    <t>CLW 834 L</t>
  </si>
  <si>
    <t>CLW 868 L</t>
  </si>
  <si>
    <t>CLX 118 L</t>
  </si>
  <si>
    <t>CLW 542 L</t>
  </si>
  <si>
    <t>CMB 436 L</t>
  </si>
  <si>
    <t>CMB 455 L</t>
  </si>
  <si>
    <t>CMB 576 L</t>
  </si>
  <si>
    <t>CMB 574 L</t>
  </si>
  <si>
    <t>CMB 490 L</t>
  </si>
  <si>
    <t>CMB 486 L</t>
  </si>
  <si>
    <t>CMB 581 L</t>
  </si>
  <si>
    <t>CMB 583 L</t>
  </si>
  <si>
    <t>CMB 608 L</t>
  </si>
  <si>
    <t>CMB 595 L</t>
  </si>
  <si>
    <t>CMB 415 L</t>
  </si>
  <si>
    <t>CMB 428 L</t>
  </si>
  <si>
    <t>CMB 403 L</t>
  </si>
  <si>
    <t>CMB 471 L</t>
  </si>
  <si>
    <t>CMB 433 L</t>
  </si>
  <si>
    <t>CMB 461 L</t>
  </si>
  <si>
    <t>CMB 593 L</t>
  </si>
  <si>
    <t>CMB 598 L</t>
  </si>
  <si>
    <t>CMB 588 L</t>
  </si>
  <si>
    <t>CMB 587 L</t>
  </si>
  <si>
    <t>CMB 495 L</t>
  </si>
  <si>
    <t>CMB 477 L</t>
  </si>
  <si>
    <t>CMB 620 L</t>
  </si>
  <si>
    <t>CMB 422 L</t>
  </si>
  <si>
    <t>CMB 615 L</t>
  </si>
  <si>
    <t>PRICE</t>
  </si>
  <si>
    <t>ENGINE NO</t>
  </si>
  <si>
    <t>CHASSIS</t>
  </si>
  <si>
    <t>REG. DAT/MODEL</t>
  </si>
  <si>
    <t>REG. NO</t>
  </si>
  <si>
    <t>DEPT</t>
  </si>
  <si>
    <t>FINANCE</t>
  </si>
  <si>
    <t>CLY 919 L</t>
  </si>
  <si>
    <t>CLY 929 L</t>
  </si>
  <si>
    <t>CJF 828 L</t>
  </si>
  <si>
    <t>M/BENZ  -057</t>
  </si>
  <si>
    <t>CMB 613 L</t>
  </si>
  <si>
    <t>CMN 314 L</t>
  </si>
  <si>
    <t>CML 499 L</t>
  </si>
  <si>
    <t>CMN 322 L</t>
  </si>
  <si>
    <t>CMN 328 L</t>
  </si>
  <si>
    <t>CML 497 L</t>
  </si>
  <si>
    <t>CMJ 501 L</t>
  </si>
  <si>
    <t>CMJ 531 L</t>
  </si>
  <si>
    <t>CMS 102 L</t>
  </si>
  <si>
    <t>CMJ 538 L</t>
  </si>
  <si>
    <t>CMJ 505 L</t>
  </si>
  <si>
    <t>CMJ 507 L</t>
  </si>
  <si>
    <t>CMJ 511 L</t>
  </si>
  <si>
    <t>CMN 476 L</t>
  </si>
  <si>
    <t>CMN 471 L</t>
  </si>
  <si>
    <t>CMS 094 L</t>
  </si>
  <si>
    <t>CMP 207 L</t>
  </si>
  <si>
    <t>CMS 105 L</t>
  </si>
  <si>
    <t>CML 496 L</t>
  </si>
  <si>
    <t>CMN 332 L</t>
  </si>
  <si>
    <t>CML 494 L</t>
  </si>
  <si>
    <t>CMS 097 L</t>
  </si>
  <si>
    <t>CMS 114 L</t>
  </si>
  <si>
    <t>CMN 100 L</t>
  </si>
  <si>
    <t>CMJ 521 L</t>
  </si>
  <si>
    <t>CMF 761 L</t>
  </si>
  <si>
    <t>CMF 759 L</t>
  </si>
  <si>
    <t>CMS 088 L</t>
  </si>
  <si>
    <t>HINO 300</t>
  </si>
  <si>
    <t>ISUZU KB200i 2x4  [034]</t>
  </si>
  <si>
    <t>183</t>
  </si>
  <si>
    <t>TOYOTA QUANTUM [003]</t>
  </si>
  <si>
    <t>ISUZU KB200i 2x4  [006]</t>
  </si>
  <si>
    <t>TOYOTA QUANTUM [006]</t>
  </si>
  <si>
    <t>ISUZU KB200i 2x4 [003]</t>
  </si>
  <si>
    <t>CHEVROLET AVEO 1.6  [057]</t>
  </si>
  <si>
    <t>ISUZU KB200i 2x4 CANOPY  [133]</t>
  </si>
  <si>
    <t>ISUZU KB200i 2x4 MESH [133]</t>
  </si>
  <si>
    <t>ISUZU KB200i 2x4 [073]</t>
  </si>
  <si>
    <t>ISUZU KB200i 2x4 [083]</t>
  </si>
  <si>
    <t>ISUZU KB200i 2x4 [173]</t>
  </si>
  <si>
    <t>ISUZU KB200i 2x4 [037]</t>
  </si>
  <si>
    <t>ISUZU KB200i 2x4 [103]</t>
  </si>
  <si>
    <t>ISUZU KB200i 2x4 [093]</t>
  </si>
  <si>
    <t>ISUZU KB200i 2x4 [105]</t>
  </si>
  <si>
    <t>NISSAN NP 300 4X4 [173]</t>
  </si>
  <si>
    <t>NISSAN NP 300 4X4 [063]</t>
  </si>
  <si>
    <t>TOYOTA DYNA 150 [063]</t>
  </si>
  <si>
    <t>NISSAN   UD 40A M02 [063]</t>
  </si>
  <si>
    <t>NISSAN  UD 85   TIPPER [063]</t>
  </si>
  <si>
    <t>NISSAN  UD 80 WATER TANKER [063]</t>
  </si>
  <si>
    <t>TLB BELL 315 SJ 4X4 [063]</t>
  </si>
  <si>
    <t>ROLLER VOLVO SD100DC [063]</t>
  </si>
  <si>
    <t>ISUZU FSR800 WATER TANKER [063]</t>
  </si>
  <si>
    <t>TIPPER TRUCK TATA 1518LPK [063]</t>
  </si>
  <si>
    <t>NISSAN NP 300 4X4 [037]</t>
  </si>
  <si>
    <t>NISSAN NP 300 4X4 [073]</t>
  </si>
  <si>
    <t>NISSAN   UD 40A M02 [073]</t>
  </si>
  <si>
    <t>NISSAN  UD 80 WATER TANKER [073]</t>
  </si>
  <si>
    <t>NISSAN  UD 80  HONEY SUCKER [093]</t>
  </si>
  <si>
    <t>TOYOTA DYNA 150 [103]</t>
  </si>
  <si>
    <t>NISSAN   UD 40A M02 [103]</t>
  </si>
  <si>
    <t>TOYOTA DYNA 150 [105]</t>
  </si>
  <si>
    <t>NISSAN   UD 40A M02 [105]</t>
  </si>
  <si>
    <t>NISSAN  UD40  TIPPER [105]</t>
  </si>
  <si>
    <t>HINO 300 [133]</t>
  </si>
  <si>
    <t>ISUZU  FVZ 1600 COMPACTOR [133]</t>
  </si>
  <si>
    <t>NISSAN   UD 40A M02 [173]</t>
  </si>
  <si>
    <t>NISSAN  UD40 - CHERRY PICKER [173]</t>
  </si>
  <si>
    <t xml:space="preserve">NISSAN  UD 330WF T27 CRANE TRUCK </t>
  </si>
  <si>
    <t>2X4</t>
  </si>
  <si>
    <t>2X4 LDV</t>
  </si>
  <si>
    <t xml:space="preserve">TOYOTA DYNA </t>
  </si>
  <si>
    <t>UD 40 CREW CAB</t>
  </si>
  <si>
    <t>UD 40  TIPPER</t>
  </si>
  <si>
    <r>
      <t>21</t>
    </r>
    <r>
      <rPr>
        <b/>
        <sz val="8"/>
        <rFont val="Calibri"/>
        <family val="2"/>
      </rPr>
      <t>m³ COMPACTOR</t>
    </r>
  </si>
  <si>
    <t>UD 85 TIPPER</t>
  </si>
  <si>
    <t>UD 80 HONEY SUCKER</t>
  </si>
  <si>
    <t>UD 80 WATER TANKER</t>
  </si>
  <si>
    <t>NISSAN UD 90</t>
  </si>
  <si>
    <t>V0163</t>
  </si>
  <si>
    <t>V0165</t>
  </si>
  <si>
    <t>V0166</t>
  </si>
  <si>
    <t>DYNA</t>
  </si>
  <si>
    <t>UD 40 CREW CAP</t>
  </si>
  <si>
    <t>UD 80 TIPPER</t>
  </si>
  <si>
    <t>V0188</t>
  </si>
  <si>
    <t>NISSAN  UD 80 C H07 [173] CRANE</t>
  </si>
  <si>
    <t>NISSAN  UD 80 C H07 [063] CRANE</t>
  </si>
  <si>
    <t>CMY 249 L</t>
  </si>
  <si>
    <t>CNF 628 L</t>
  </si>
  <si>
    <t>CNF 616 L</t>
  </si>
  <si>
    <t>CMX 083 L</t>
  </si>
  <si>
    <t>CNF 598 L</t>
  </si>
  <si>
    <t>CNC 461 L</t>
  </si>
  <si>
    <t>desc</t>
  </si>
  <si>
    <t>DNR 338N</t>
  </si>
  <si>
    <t>ISUZU LAW</t>
  </si>
  <si>
    <t>LDV</t>
  </si>
  <si>
    <t>verkoop</t>
  </si>
  <si>
    <t>273958</t>
  </si>
  <si>
    <t>5407586</t>
  </si>
  <si>
    <t>1990 02 08  (1988)</t>
  </si>
  <si>
    <t>DKN 801N</t>
  </si>
  <si>
    <t>TOYOTA STALLION</t>
  </si>
  <si>
    <t>2Y9072188</t>
  </si>
  <si>
    <t>YF50010513</t>
  </si>
  <si>
    <t>1993 03 10  (1993)</t>
  </si>
  <si>
    <t>DLV 284N</t>
  </si>
  <si>
    <t>TOYOTA HILUX 4X4</t>
  </si>
  <si>
    <t>wshop</t>
  </si>
  <si>
    <t>4Y01351501</t>
  </si>
  <si>
    <t>YN679003631</t>
  </si>
  <si>
    <t>1987 08 24  (1987)</t>
  </si>
  <si>
    <t>DLF 728N</t>
  </si>
  <si>
    <t>TRAILOR</t>
  </si>
  <si>
    <t>T</t>
  </si>
  <si>
    <t>traffic</t>
  </si>
  <si>
    <t>5987070902</t>
  </si>
  <si>
    <t>1987 07 15  (1975)</t>
  </si>
  <si>
    <t>DNR 351N</t>
  </si>
  <si>
    <t>59820824</t>
  </si>
  <si>
    <t>1982 12 01  (1982)</t>
  </si>
  <si>
    <t>DNP 896N</t>
  </si>
  <si>
    <t>59820825</t>
  </si>
  <si>
    <t xml:space="preserve">DLV 287N </t>
  </si>
  <si>
    <t>VENTER TRAILOR</t>
  </si>
  <si>
    <t>VA777221</t>
  </si>
  <si>
    <t>1984 08 23 (1984)</t>
  </si>
  <si>
    <t>DNR 348N</t>
  </si>
  <si>
    <t>WELFIT ODDY TRAILOR</t>
  </si>
  <si>
    <t>1217/82</t>
  </si>
  <si>
    <t>1983 01 25  (1982)</t>
  </si>
  <si>
    <t>DNP 894N</t>
  </si>
  <si>
    <t xml:space="preserve">T </t>
  </si>
  <si>
    <t>10800709</t>
  </si>
  <si>
    <t>1984 10 04  (1985)</t>
  </si>
  <si>
    <t>DLV 289N</t>
  </si>
  <si>
    <t>FORD TRUCTOR</t>
  </si>
  <si>
    <t>T/R</t>
  </si>
  <si>
    <t>POO84</t>
  </si>
  <si>
    <t>CS11300</t>
  </si>
  <si>
    <t>1982 08 31  (1982)</t>
  </si>
  <si>
    <t>DNB 902N</t>
  </si>
  <si>
    <t>MAZDA B 1600</t>
  </si>
  <si>
    <t>302729</t>
  </si>
  <si>
    <t>NR286512</t>
  </si>
  <si>
    <t>1987 10 19  (1987)</t>
  </si>
  <si>
    <t>DNP 897N</t>
  </si>
  <si>
    <t>2Y9067923</t>
  </si>
  <si>
    <t>YF50008472</t>
  </si>
  <si>
    <t>1993 02 08  (1993)</t>
  </si>
  <si>
    <t>DLF 680N</t>
  </si>
  <si>
    <t>M BENZ TRUCK</t>
  </si>
  <si>
    <t>H/V</t>
  </si>
  <si>
    <t>MBO1050SA045158S</t>
  </si>
  <si>
    <t>38300726012903</t>
  </si>
  <si>
    <t>1990 03 28  (1990)</t>
  </si>
  <si>
    <t>DLV 307N</t>
  </si>
  <si>
    <t>swm</t>
  </si>
  <si>
    <t>MK01034SA074199W</t>
  </si>
  <si>
    <t>39734662999347</t>
  </si>
  <si>
    <t>1993 06 23  (1993)</t>
  </si>
  <si>
    <t>DLV 298N</t>
  </si>
  <si>
    <t>TOYOTA HILUX</t>
  </si>
  <si>
    <t>22R4057781</t>
  </si>
  <si>
    <t>RN6700002201</t>
  </si>
  <si>
    <t>1995 06 20  (1995)</t>
  </si>
  <si>
    <t>DLV 297N</t>
  </si>
  <si>
    <t>mm</t>
  </si>
  <si>
    <t>22R4087296</t>
  </si>
  <si>
    <t>RN6700002869</t>
  </si>
  <si>
    <t>DNP 885N</t>
  </si>
  <si>
    <t>4Y9032876</t>
  </si>
  <si>
    <t>YN670025273</t>
  </si>
  <si>
    <t>1989  12 05  (1989)</t>
  </si>
  <si>
    <t>DLV 299N</t>
  </si>
  <si>
    <t>4Y9089313</t>
  </si>
  <si>
    <t>31YN6707007774</t>
  </si>
  <si>
    <t>1994 06 02  (1994)</t>
  </si>
  <si>
    <t>DNP 893N</t>
  </si>
  <si>
    <t>MITSUBISHI TRUCK</t>
  </si>
  <si>
    <t>FL2790</t>
  </si>
  <si>
    <t>FL096402</t>
  </si>
  <si>
    <t>1985 12 24  (1985)</t>
  </si>
  <si>
    <t>DNP 886N</t>
  </si>
  <si>
    <t>23397</t>
  </si>
  <si>
    <t>NR368981</t>
  </si>
  <si>
    <t>1988 12 02  (1988)</t>
  </si>
  <si>
    <t>DNP 889N</t>
  </si>
  <si>
    <t>parks</t>
  </si>
  <si>
    <t>25578</t>
  </si>
  <si>
    <t>NR367447</t>
  </si>
  <si>
    <t>1998 12 02  (1998)</t>
  </si>
  <si>
    <t>DNB 904N</t>
  </si>
  <si>
    <t>LD82096SA030277T</t>
  </si>
  <si>
    <t>NR422867</t>
  </si>
  <si>
    <t>1989 10 17  (1989)</t>
  </si>
  <si>
    <t>DNB 905N</t>
  </si>
  <si>
    <t>302487</t>
  </si>
  <si>
    <t>NR420109</t>
  </si>
  <si>
    <t>DLV 314N</t>
  </si>
  <si>
    <t>FORD TRITON</t>
  </si>
  <si>
    <t>M/V</t>
  </si>
  <si>
    <t>LD82096SA037401W</t>
  </si>
  <si>
    <t>NR581849H</t>
  </si>
  <si>
    <t>1992 06 11  (1992)</t>
  </si>
  <si>
    <t>DLG 109N</t>
  </si>
  <si>
    <t>NISSAN TRUCK</t>
  </si>
  <si>
    <t>PD645721</t>
  </si>
  <si>
    <t>2297D</t>
  </si>
  <si>
    <t>1981 10 27  (1981)</t>
  </si>
  <si>
    <t>DMS 571N</t>
  </si>
  <si>
    <t>ISUZU TRUCK</t>
  </si>
  <si>
    <t>SA013654K</t>
  </si>
  <si>
    <t>5260023</t>
  </si>
  <si>
    <t>1983  11 22  (1983)</t>
  </si>
  <si>
    <t>DKL 578N</t>
  </si>
  <si>
    <t>MITSHUBISHI TRUCK</t>
  </si>
  <si>
    <t>023721L</t>
  </si>
  <si>
    <t>FL355807</t>
  </si>
  <si>
    <t>1986 01 10  (1985)</t>
  </si>
  <si>
    <t>DLV 312N</t>
  </si>
  <si>
    <t xml:space="preserve">M/BENZ TRUCK </t>
  </si>
  <si>
    <t>MK01034SA072551</t>
  </si>
  <si>
    <t>39730862999974</t>
  </si>
  <si>
    <t>1992 06 30  (1992)</t>
  </si>
  <si>
    <t>DNR 346N</t>
  </si>
  <si>
    <t>KOMP</t>
  </si>
  <si>
    <t>6430112</t>
  </si>
  <si>
    <t>678226</t>
  </si>
  <si>
    <t>1982 02 05  (1982)</t>
  </si>
  <si>
    <t>DKX 042N</t>
  </si>
  <si>
    <t>MITSHUBISHI CANTER</t>
  </si>
  <si>
    <t>4D31B16458</t>
  </si>
  <si>
    <t>NR659878</t>
  </si>
  <si>
    <t>1994 04 13  (1994)</t>
  </si>
  <si>
    <t>DLG 098N</t>
  </si>
  <si>
    <t>5987070908</t>
  </si>
  <si>
    <t>1987 07 15  (1967)</t>
  </si>
  <si>
    <t>DLF 731N</t>
  </si>
  <si>
    <t>5987070905</t>
  </si>
  <si>
    <t>1987 07 15  (1960)</t>
  </si>
  <si>
    <t>DNB 893N</t>
  </si>
  <si>
    <t>10801092</t>
  </si>
  <si>
    <t>1990 09 26  (1990)</t>
  </si>
  <si>
    <t>DLV 309N</t>
  </si>
  <si>
    <t>VENTER ELITE  6 TRAILOR</t>
  </si>
  <si>
    <t>V92681719</t>
  </si>
  <si>
    <t>1992 07 15  (1992)</t>
  </si>
  <si>
    <t>DLV 304N</t>
  </si>
  <si>
    <t>SKH3992</t>
  </si>
  <si>
    <t>1993 07 13  (1993)</t>
  </si>
  <si>
    <t>DNB 892N</t>
  </si>
  <si>
    <t>MAZDA B1600</t>
  </si>
  <si>
    <t>302394</t>
  </si>
  <si>
    <t>R2862511</t>
  </si>
  <si>
    <t>1987 09 23  (1987)</t>
  </si>
  <si>
    <t>DNB 894N</t>
  </si>
  <si>
    <t>FORD COURIER</t>
  </si>
  <si>
    <t>F6342523</t>
  </si>
  <si>
    <t>NR475520H</t>
  </si>
  <si>
    <t>1990 09 27  (1990)</t>
  </si>
  <si>
    <t>DLF 679N</t>
  </si>
  <si>
    <t>85450787</t>
  </si>
  <si>
    <t>NR631740</t>
  </si>
  <si>
    <t>1991 07 01  (1991)</t>
  </si>
  <si>
    <t>DKX 041N</t>
  </si>
  <si>
    <t>2Y9089411</t>
  </si>
  <si>
    <t>32YF5000019666</t>
  </si>
  <si>
    <t>1994 04 26  (1994)</t>
  </si>
  <si>
    <t>DKG 299N</t>
  </si>
  <si>
    <t>LD82096SA03820W</t>
  </si>
  <si>
    <t>NR618105</t>
  </si>
  <si>
    <t>1993 05 11  (1993)</t>
  </si>
  <si>
    <t>DKG 301N</t>
  </si>
  <si>
    <t>LD82096SA038104W</t>
  </si>
  <si>
    <t>NR618107</t>
  </si>
  <si>
    <t>DLV 296N</t>
  </si>
  <si>
    <t>MITSUBISHI CANTER</t>
  </si>
  <si>
    <t>4031B75423</t>
  </si>
  <si>
    <t>NR051011</t>
  </si>
  <si>
    <t xml:space="preserve">1995 06 26  (1995) </t>
  </si>
  <si>
    <t>DLV 295N</t>
  </si>
  <si>
    <t>LD82096SA042785A</t>
  </si>
  <si>
    <t>NR044835</t>
  </si>
  <si>
    <t>1995 06 26  (1995)</t>
  </si>
  <si>
    <t>DLG 100N</t>
  </si>
  <si>
    <t>FORD TRECTOR</t>
  </si>
  <si>
    <t>D385182</t>
  </si>
  <si>
    <t>16337</t>
  </si>
  <si>
    <t>1987 07 14  (1973)</t>
  </si>
  <si>
    <t>DLG 112N</t>
  </si>
  <si>
    <t>D046949</t>
  </si>
  <si>
    <t>TS04BA45376</t>
  </si>
  <si>
    <t>1981  09 30  (1981)</t>
  </si>
  <si>
    <t>BGC 439N</t>
  </si>
  <si>
    <t>EA598488</t>
  </si>
  <si>
    <t>NR107989</t>
  </si>
  <si>
    <t>1996 04 10  (1996)</t>
  </si>
  <si>
    <t>DLF 735N</t>
  </si>
  <si>
    <t xml:space="preserve">FORD 5000 TREKKER </t>
  </si>
  <si>
    <t>E1578509L20B</t>
  </si>
  <si>
    <t>E1578509L</t>
  </si>
  <si>
    <t>1987 07 15  (1970)</t>
  </si>
  <si>
    <t>DLG 104N</t>
  </si>
  <si>
    <t>LD82009SA005422K</t>
  </si>
  <si>
    <t>2692</t>
  </si>
  <si>
    <t>1983 10 26  (1983</t>
  </si>
  <si>
    <t>DKN 792N</t>
  </si>
  <si>
    <t>D0000667</t>
  </si>
  <si>
    <t>TSO6EEY79348</t>
  </si>
  <si>
    <t>1984 09 18  (1984)</t>
  </si>
  <si>
    <t xml:space="preserve">DLV 293N </t>
  </si>
  <si>
    <t>D000668</t>
  </si>
  <si>
    <t>TSO4EE79347</t>
  </si>
  <si>
    <t xml:space="preserve">DKN 799N </t>
  </si>
  <si>
    <t>25770</t>
  </si>
  <si>
    <t>NR702256</t>
  </si>
  <si>
    <t>1988 12 07  (1988)</t>
  </si>
  <si>
    <t>DKN 793N</t>
  </si>
  <si>
    <t>FERGUSON TRAILOR</t>
  </si>
  <si>
    <t>5987070901</t>
  </si>
  <si>
    <t>1987 08 11  (1960)</t>
  </si>
  <si>
    <t>DLF 737N</t>
  </si>
  <si>
    <t>5987070903</t>
  </si>
  <si>
    <t>1987 07 15  (1974)</t>
  </si>
  <si>
    <t>DLF 682N</t>
  </si>
  <si>
    <t>WATER TANK</t>
  </si>
  <si>
    <t>5987070904</t>
  </si>
  <si>
    <t>1987 07 15  (1973)</t>
  </si>
  <si>
    <t>DKX 038N</t>
  </si>
  <si>
    <t>POLE TRAILOR</t>
  </si>
  <si>
    <t>10604</t>
  </si>
  <si>
    <t>1981 11 25  (1981)</t>
  </si>
  <si>
    <t>DLV 291N</t>
  </si>
  <si>
    <t>10605</t>
  </si>
  <si>
    <t>1981 11 25   (1981)</t>
  </si>
  <si>
    <t>DKX 039N</t>
  </si>
  <si>
    <t>1982 01 19  (1982)</t>
  </si>
  <si>
    <t>DLF 733N</t>
  </si>
  <si>
    <t>JOUBERT TRAILOR</t>
  </si>
  <si>
    <t>5987070909</t>
  </si>
  <si>
    <t>DNR 343N</t>
  </si>
  <si>
    <t>598409101540</t>
  </si>
  <si>
    <t>1994 09 18  (1994)</t>
  </si>
  <si>
    <t>DNB 901N</t>
  </si>
  <si>
    <t>2000 PEGO TRAILOR</t>
  </si>
  <si>
    <t>1921-01</t>
  </si>
  <si>
    <t>1985 10 24  (1985)</t>
  </si>
  <si>
    <t>DMS 580N</t>
  </si>
  <si>
    <t>10801112</t>
  </si>
  <si>
    <t>1991 11 01  (1991)</t>
  </si>
  <si>
    <t>DMS 582N</t>
  </si>
  <si>
    <t>LAWNMOWER TRAILOR</t>
  </si>
  <si>
    <t>TBC 5991111541</t>
  </si>
  <si>
    <t>1991 11 19  (1991)</t>
  </si>
  <si>
    <t>DNB 889N</t>
  </si>
  <si>
    <t>193417</t>
  </si>
  <si>
    <t>193423</t>
  </si>
  <si>
    <t>1987 08 13  (1973)</t>
  </si>
  <si>
    <t>DLF 729N</t>
  </si>
  <si>
    <t>WELDER TRAILOR</t>
  </si>
  <si>
    <t>DMS 569N</t>
  </si>
  <si>
    <t>10800421</t>
  </si>
  <si>
    <t>1981 11 13  (1981)</t>
  </si>
  <si>
    <t>E/M</t>
  </si>
  <si>
    <t>277340482</t>
  </si>
  <si>
    <t>6551544</t>
  </si>
  <si>
    <t>1987 08 13  (1975)</t>
  </si>
  <si>
    <t>DLG 106N</t>
  </si>
  <si>
    <t>120838PHZ</t>
  </si>
  <si>
    <t>1194</t>
  </si>
  <si>
    <t xml:space="preserve">1982 05 14  (1982) </t>
  </si>
  <si>
    <t>DNB 886N</t>
  </si>
  <si>
    <t>FLEXIAN TRAILOR</t>
  </si>
  <si>
    <t>125</t>
  </si>
  <si>
    <t>1982 09 02  (1982)</t>
  </si>
  <si>
    <t>DNB 899N</t>
  </si>
  <si>
    <t>BOMAG TRAILOR</t>
  </si>
  <si>
    <t>BW7600184</t>
  </si>
  <si>
    <t>1985 10 09  (1985)</t>
  </si>
  <si>
    <t>DNP 901N</t>
  </si>
  <si>
    <t>VERMEER 620 BC TRAILOR</t>
  </si>
  <si>
    <t>08121M1001430</t>
  </si>
  <si>
    <t>1992 02 24  (1992)</t>
  </si>
  <si>
    <t>DNR 342N</t>
  </si>
  <si>
    <t>FGL9126337447</t>
  </si>
  <si>
    <t>8414113</t>
  </si>
  <si>
    <t>1988 02 08  (1988)</t>
  </si>
  <si>
    <t>DKX 035N</t>
  </si>
  <si>
    <t>5655328</t>
  </si>
  <si>
    <t>SAPTR394</t>
  </si>
  <si>
    <t>1982 05 04  (1982)</t>
  </si>
  <si>
    <t>DLF 681N</t>
  </si>
  <si>
    <t>TOYOTA HINO TRUCK</t>
  </si>
  <si>
    <t>MBO1074SA040664P</t>
  </si>
  <si>
    <t>GDB12010034</t>
  </si>
  <si>
    <t>1998 01 13  (1998)</t>
  </si>
  <si>
    <t>DLG 108N</t>
  </si>
  <si>
    <t>334202</t>
  </si>
  <si>
    <t>S174109</t>
  </si>
  <si>
    <t>1982 04 26  (1982)</t>
  </si>
  <si>
    <t>DMS 574N</t>
  </si>
  <si>
    <t>MCO1021SA0211401</t>
  </si>
  <si>
    <t>22015</t>
  </si>
  <si>
    <t>1984 10 19  (1984)</t>
  </si>
  <si>
    <t>DMS 576N</t>
  </si>
  <si>
    <t>007772J</t>
  </si>
  <si>
    <t>FL455595</t>
  </si>
  <si>
    <t>1984 11 15  (1984)</t>
  </si>
  <si>
    <t>DKX 043N</t>
  </si>
  <si>
    <t>4D31B30508</t>
  </si>
  <si>
    <t>NR670076</t>
  </si>
  <si>
    <t>BCC 135N</t>
  </si>
  <si>
    <t>715343A</t>
  </si>
  <si>
    <t>437690</t>
  </si>
  <si>
    <t>1995 11 21  (1995)</t>
  </si>
  <si>
    <t>BCC 136N</t>
  </si>
  <si>
    <t>714644A</t>
  </si>
  <si>
    <t>437631</t>
  </si>
  <si>
    <t>BCC 137N</t>
  </si>
  <si>
    <t>702922A</t>
  </si>
  <si>
    <t>527134</t>
  </si>
  <si>
    <t>DLG 101N</t>
  </si>
  <si>
    <t>07Z15578</t>
  </si>
  <si>
    <t>61W0558</t>
  </si>
  <si>
    <t>1987 02 06  (1987)</t>
  </si>
  <si>
    <t>DLG 107N</t>
  </si>
  <si>
    <t>FORD COUNTY</t>
  </si>
  <si>
    <t>G562998</t>
  </si>
  <si>
    <t>BG57786</t>
  </si>
  <si>
    <t>DMS 578N</t>
  </si>
  <si>
    <t>7379229</t>
  </si>
  <si>
    <t>101400240231</t>
  </si>
  <si>
    <t>1987 11 10  (1987)</t>
  </si>
  <si>
    <t>DNR 336N</t>
  </si>
  <si>
    <t>DRESSER</t>
  </si>
  <si>
    <t>44271366</t>
  </si>
  <si>
    <t>SAG5521</t>
  </si>
  <si>
    <t>1989 01 05  (1989)</t>
  </si>
  <si>
    <t>DLV 326N</t>
  </si>
  <si>
    <t>RAMSOMES TRECTOR</t>
  </si>
  <si>
    <t>D95697265</t>
  </si>
  <si>
    <t>E1419</t>
  </si>
  <si>
    <t>1991  07 31  (1991)</t>
  </si>
  <si>
    <t>DBD 676N</t>
  </si>
  <si>
    <t>22R4155307</t>
  </si>
  <si>
    <t>AHT31RN6700006251</t>
  </si>
  <si>
    <t>1996 07 10  (1996)</t>
  </si>
  <si>
    <t>DGC 622N</t>
  </si>
  <si>
    <t>NISSAN 1400</t>
  </si>
  <si>
    <t>A14S194890F</t>
  </si>
  <si>
    <t>ADN4080000A417989</t>
  </si>
  <si>
    <t>1997 05 07  (1997)</t>
  </si>
  <si>
    <t>DGC 623N</t>
  </si>
  <si>
    <t>A14S196237F</t>
  </si>
  <si>
    <t>ADN4080000A419391</t>
  </si>
  <si>
    <t>DCG 466N</t>
  </si>
  <si>
    <t>TOYOTA CANTER</t>
  </si>
  <si>
    <t>4Y9115400</t>
  </si>
  <si>
    <t>AHT32YUM000000226</t>
  </si>
  <si>
    <t>1997 05 26  (1997)</t>
  </si>
  <si>
    <t>DDX 058N</t>
  </si>
  <si>
    <t>22R4208288</t>
  </si>
  <si>
    <t>AHT31RN6700008321</t>
  </si>
  <si>
    <t>1997 06 12  (1997)</t>
  </si>
  <si>
    <t>DDX 062N</t>
  </si>
  <si>
    <t>22R4209346</t>
  </si>
  <si>
    <t>AHT31RN06700008607</t>
  </si>
  <si>
    <t>DHC 017N</t>
  </si>
  <si>
    <t>MERCEDES BENZ PLATBAK</t>
  </si>
  <si>
    <t>MJ02033SA100918C</t>
  </si>
  <si>
    <t>ADB3973426004733</t>
  </si>
  <si>
    <t>1997 07 03  (1997)</t>
  </si>
  <si>
    <t>DHT 487N</t>
  </si>
  <si>
    <t>TOYOTA CAMERY</t>
  </si>
  <si>
    <t>SED</t>
  </si>
  <si>
    <t>5S4176796</t>
  </si>
  <si>
    <t>AHT53SK1009521778</t>
  </si>
  <si>
    <t>1997 09 16  (1997)</t>
  </si>
  <si>
    <t>DJH 087N</t>
  </si>
  <si>
    <t>598011W</t>
  </si>
  <si>
    <t>3CX4TSM406112</t>
  </si>
  <si>
    <t>1997 11 11  (1997)</t>
  </si>
  <si>
    <t>DLH 929N</t>
  </si>
  <si>
    <t>CITY GOLF 1.3</t>
  </si>
  <si>
    <t>GY141489</t>
  </si>
  <si>
    <t>AAVZZZ17ZWU007448</t>
  </si>
  <si>
    <t>1998 05 14  (1998)</t>
  </si>
  <si>
    <t>DLH 939N</t>
  </si>
  <si>
    <t>GY141285</t>
  </si>
  <si>
    <t>AAVZZZ17ZWU007065</t>
  </si>
  <si>
    <t>DLH 938N</t>
  </si>
  <si>
    <t>NISSAN CABSTAR</t>
  </si>
  <si>
    <t>FD46-010262</t>
  </si>
  <si>
    <t>ADN55200000000443</t>
  </si>
  <si>
    <t>1998 05 18  (1998)</t>
  </si>
  <si>
    <t>DPX 413N</t>
  </si>
  <si>
    <t>HYUNDAI</t>
  </si>
  <si>
    <t>D4BBW599267</t>
  </si>
  <si>
    <t>KMFXKN7BRXU205804</t>
  </si>
  <si>
    <t>1998 10 19  (1998)</t>
  </si>
  <si>
    <t>DRS 109N</t>
  </si>
  <si>
    <t>HYUNDAI LAW</t>
  </si>
  <si>
    <t>D4BBW590736</t>
  </si>
  <si>
    <t>KMFXKNYBRXU200594</t>
  </si>
  <si>
    <t>1999 01 04  (1999)</t>
  </si>
  <si>
    <t>DST 930N</t>
  </si>
  <si>
    <t xml:space="preserve">ISUZU KB </t>
  </si>
  <si>
    <t>20LE25001084</t>
  </si>
  <si>
    <t>ADMTFR29HAM888530</t>
  </si>
  <si>
    <t>1999 06 10  (1999)</t>
  </si>
  <si>
    <t>DST 931N</t>
  </si>
  <si>
    <t>ISUZU KB</t>
  </si>
  <si>
    <t>20LE25001203</t>
  </si>
  <si>
    <t>ADMTFR29HAM887479</t>
  </si>
  <si>
    <t>DST 933N</t>
  </si>
  <si>
    <t>20LE25000768</t>
  </si>
  <si>
    <t>ADMTFR29HAM874322</t>
  </si>
  <si>
    <t>DST 927N</t>
  </si>
  <si>
    <t>stores</t>
  </si>
  <si>
    <t>20LE25000987</t>
  </si>
  <si>
    <t>ADMTFR29HAM888528</t>
  </si>
  <si>
    <t>DSV 397N</t>
  </si>
  <si>
    <t>D4BBX708909</t>
  </si>
  <si>
    <t>KMFXKN7BRXU268899</t>
  </si>
  <si>
    <t>1999 06 15  (1999)</t>
  </si>
  <si>
    <t>DSV 395N</t>
  </si>
  <si>
    <t xml:space="preserve">HYUNDAI </t>
  </si>
  <si>
    <t>D4BBW692565</t>
  </si>
  <si>
    <t>KMFXKN7BRXU259215</t>
  </si>
  <si>
    <t>DSV 434N</t>
  </si>
  <si>
    <t>COLT 4X4</t>
  </si>
  <si>
    <t>4G64XR8614</t>
  </si>
  <si>
    <t>ABJK 73JNRWE007987</t>
  </si>
  <si>
    <t>1999 06 18  (1999)</t>
  </si>
  <si>
    <t>DSW 141N</t>
  </si>
  <si>
    <t>D4BBX709692</t>
  </si>
  <si>
    <t>KMFXKN7BRXU269507</t>
  </si>
  <si>
    <t>1999 06 25  (1999)</t>
  </si>
  <si>
    <t>DWD 351N</t>
  </si>
  <si>
    <t xml:space="preserve">NEW HOLLAND TRACTOR </t>
  </si>
  <si>
    <t>mdc</t>
  </si>
  <si>
    <t>206538756</t>
  </si>
  <si>
    <t>NH5556L0001166711</t>
  </si>
  <si>
    <t>2000 05 23  (2000)</t>
  </si>
  <si>
    <t>DWD 352N</t>
  </si>
  <si>
    <t>206542668</t>
  </si>
  <si>
    <t>NH5556L0001167480</t>
  </si>
  <si>
    <t>2000 05 24  (2000)</t>
  </si>
  <si>
    <t>DWD 401N</t>
  </si>
  <si>
    <t>4G64BN0009</t>
  </si>
  <si>
    <t>ABJK75ENRYE016558</t>
  </si>
  <si>
    <t>2002 05 25  (2002)</t>
  </si>
  <si>
    <t>DWD 688N</t>
  </si>
  <si>
    <t>4G64BN0011</t>
  </si>
  <si>
    <t>ABJK75ENRYE016555</t>
  </si>
  <si>
    <t>2000 05 29  (2000)</t>
  </si>
  <si>
    <t>DWD 690N</t>
  </si>
  <si>
    <t>4G64BN0068</t>
  </si>
  <si>
    <t>ABJK75ENRYE016560</t>
  </si>
  <si>
    <t>DWF 166N</t>
  </si>
  <si>
    <t>TOYOTA DYNA</t>
  </si>
  <si>
    <t>5L4902182</t>
  </si>
  <si>
    <t>JT731LYM209996347</t>
  </si>
  <si>
    <t>2000 05 31   (2000)</t>
  </si>
  <si>
    <t>DWF 168N</t>
  </si>
  <si>
    <t>5L4856873</t>
  </si>
  <si>
    <t>JT731LYM209996179</t>
  </si>
  <si>
    <t>2000 05 31  (2000)</t>
  </si>
  <si>
    <t>DWF 408N</t>
  </si>
  <si>
    <t>4JA1702719</t>
  </si>
  <si>
    <t>ADMTFR54HTM928452</t>
  </si>
  <si>
    <t>2000 06 05  (2000)</t>
  </si>
  <si>
    <t>DWF 409N</t>
  </si>
  <si>
    <t>A4JA1686949</t>
  </si>
  <si>
    <t>ADMTFR54HTM929963</t>
  </si>
  <si>
    <t>DWF 413N</t>
  </si>
  <si>
    <t>4JA1687033</t>
  </si>
  <si>
    <t>ADMTFR54HTM930859</t>
  </si>
  <si>
    <t>DWF 415N</t>
  </si>
  <si>
    <t>4JA1686909</t>
  </si>
  <si>
    <t>ADMTFR54HTM929962</t>
  </si>
  <si>
    <t>2000 06 02   (2000)</t>
  </si>
  <si>
    <t>DWF 416N</t>
  </si>
  <si>
    <t>4JA1686857</t>
  </si>
  <si>
    <t>ADMTFR54HTM930134</t>
  </si>
  <si>
    <t>DWG 231N</t>
  </si>
  <si>
    <t>MAZDA 323</t>
  </si>
  <si>
    <t>3B89001</t>
  </si>
  <si>
    <t>AFAVXDL41VR327659</t>
  </si>
  <si>
    <t>2000 06 12  (2000)</t>
  </si>
  <si>
    <t>DWG 232N</t>
  </si>
  <si>
    <t>3B87656</t>
  </si>
  <si>
    <t>AFAVXDL41VR324483</t>
  </si>
  <si>
    <t>DWF 970N</t>
  </si>
  <si>
    <t>4G64BN0025</t>
  </si>
  <si>
    <t>ABJK75ENRYE016556</t>
  </si>
  <si>
    <t>2000 06 09  (2000)</t>
  </si>
  <si>
    <t>DWF 971N</t>
  </si>
  <si>
    <t>4G64BN0010</t>
  </si>
  <si>
    <t>ABJK75ENRYE016449</t>
  </si>
  <si>
    <t>DWF 974N</t>
  </si>
  <si>
    <t>AG64BN0008</t>
  </si>
  <si>
    <t>ABJK75ENRYE016557</t>
  </si>
  <si>
    <t>2000 06 09 (2000)</t>
  </si>
  <si>
    <t>DWG 865N</t>
  </si>
  <si>
    <t>ISUZU TIPTROK</t>
  </si>
  <si>
    <t>6HH1291101</t>
  </si>
  <si>
    <t>ADMFTR33MXZ933933</t>
  </si>
  <si>
    <t>2000 06 08  (2000)</t>
  </si>
  <si>
    <t>DWG 864N</t>
  </si>
  <si>
    <t>ISUZU TIPPER</t>
  </si>
  <si>
    <t>11111L94</t>
  </si>
  <si>
    <t>ADMNR70RSXZ931847</t>
  </si>
  <si>
    <t>DWG 863N</t>
  </si>
  <si>
    <t>11111M04</t>
  </si>
  <si>
    <t>ADMNR70RSXZ931846</t>
  </si>
  <si>
    <t>DXV 047N</t>
  </si>
  <si>
    <t>FLAT DECK TRAILER (SPIDER)</t>
  </si>
  <si>
    <t>AAPV0450160284240</t>
  </si>
  <si>
    <t>2001 03 20  (2001)</t>
  </si>
  <si>
    <t>DSR 624N</t>
  </si>
  <si>
    <t>TOYOTA SWB TIPPER</t>
  </si>
  <si>
    <t>MBO1012SA088814P</t>
  </si>
  <si>
    <t>ODA107905</t>
  </si>
  <si>
    <t>1999 05 13  (1998)</t>
  </si>
  <si>
    <t>DSG 453N</t>
  </si>
  <si>
    <t>HINO</t>
  </si>
  <si>
    <t>MBO1057SA010593K</t>
  </si>
  <si>
    <t>FBD16010046</t>
  </si>
  <si>
    <t>1999 03 19  (1998)</t>
  </si>
  <si>
    <t>DWF 195N</t>
  </si>
  <si>
    <t>TOYOTA SEDAN 1300</t>
  </si>
  <si>
    <t>VO260257958</t>
  </si>
  <si>
    <t>EE909832053</t>
  </si>
  <si>
    <t>2000 05 31  (1997)</t>
  </si>
  <si>
    <t>DRS 056N</t>
  </si>
  <si>
    <t>F8512042</t>
  </si>
  <si>
    <t>TBDNL0105TR076891</t>
  </si>
  <si>
    <t>1996 01 01  (1996)</t>
  </si>
  <si>
    <t>DSB 410N</t>
  </si>
  <si>
    <t>VW JETTA</t>
  </si>
  <si>
    <t>HV102480</t>
  </si>
  <si>
    <t>AAVZZZ16ZMU009338</t>
  </si>
  <si>
    <t>1999 02 19  (1995)</t>
  </si>
  <si>
    <t>DRS 628N</t>
  </si>
  <si>
    <t>ISUZU KB20</t>
  </si>
  <si>
    <t>392422</t>
  </si>
  <si>
    <t>ADMTFR12HAM673041</t>
  </si>
  <si>
    <t>1995 01 01  (1995)</t>
  </si>
  <si>
    <t>GAZ2-7189</t>
  </si>
  <si>
    <t xml:space="preserve">JCB 420 </t>
  </si>
  <si>
    <t>DST 958N</t>
  </si>
  <si>
    <t>NISSAN SENTRA</t>
  </si>
  <si>
    <t>GA16699998B</t>
  </si>
  <si>
    <t>ADND050000L020128</t>
  </si>
  <si>
    <t>1996 04 26  (1996)</t>
  </si>
  <si>
    <t>DRX 254N</t>
  </si>
  <si>
    <t>2Y9025590</t>
  </si>
  <si>
    <t>YN510016911</t>
  </si>
  <si>
    <t>1999 01 27  (1997)</t>
  </si>
  <si>
    <t>DTY 066N</t>
  </si>
  <si>
    <t>TOYOTA TIPPER</t>
  </si>
  <si>
    <t>3521880502</t>
  </si>
  <si>
    <t>ODA116107121</t>
  </si>
  <si>
    <t>1999 12 03  (1997)</t>
  </si>
  <si>
    <t>DWW 564N</t>
  </si>
  <si>
    <t>4G64YR2655</t>
  </si>
  <si>
    <t>ABJK73JNRWE010005</t>
  </si>
  <si>
    <t>2000 10 05  (2000)</t>
  </si>
  <si>
    <t>DLL 429N</t>
  </si>
  <si>
    <t>LPM 027A</t>
  </si>
  <si>
    <t>1995 02 06  (1995)</t>
  </si>
  <si>
    <t>DLL 428N</t>
  </si>
  <si>
    <t>90C4436</t>
  </si>
  <si>
    <t>1990 06 20  (1990)</t>
  </si>
  <si>
    <t>FCB 596N</t>
  </si>
  <si>
    <t>FORD RANGER 2.5D</t>
  </si>
  <si>
    <t>WLAT 302559</t>
  </si>
  <si>
    <t>AFAADGH02AR457301</t>
  </si>
  <si>
    <t>2002 06 28  (2002)</t>
  </si>
  <si>
    <t>FCB 598N</t>
  </si>
  <si>
    <t>WLAT 301309</t>
  </si>
  <si>
    <t>AFAADGH02AR456821</t>
  </si>
  <si>
    <t>FCB 608N</t>
  </si>
  <si>
    <t>FORD RANGER  2.5D</t>
  </si>
  <si>
    <t>WLAT301354</t>
  </si>
  <si>
    <t>AFAADGH02AR446359</t>
  </si>
  <si>
    <t>FCB 604N</t>
  </si>
  <si>
    <t>WLAT301375</t>
  </si>
  <si>
    <t>FAAADGH02AR457298</t>
  </si>
  <si>
    <t>FCB 603N</t>
  </si>
  <si>
    <t>WLAT 301353</t>
  </si>
  <si>
    <t>AFAADGH02AR457300</t>
  </si>
  <si>
    <t>FCB 611N</t>
  </si>
  <si>
    <t>MAZDA 1300</t>
  </si>
  <si>
    <t>3B122434</t>
  </si>
  <si>
    <t>AFAVXDL41VR450742</t>
  </si>
  <si>
    <t>FCB 593N</t>
  </si>
  <si>
    <t>3B122469</t>
  </si>
  <si>
    <t>AFAVXD41VR450740</t>
  </si>
  <si>
    <t>FCH 977N</t>
  </si>
  <si>
    <t>MAZDA 2.6 4X4</t>
  </si>
  <si>
    <t>G6303488</t>
  </si>
  <si>
    <t>AFAABHD02AR463375</t>
  </si>
  <si>
    <t>2002 08 14  (2002)</t>
  </si>
  <si>
    <t>FCH 971N</t>
  </si>
  <si>
    <t>G6303391</t>
  </si>
  <si>
    <t>AFAABHD02AR463379</t>
  </si>
  <si>
    <t>FCH 972N</t>
  </si>
  <si>
    <t>G6303396</t>
  </si>
  <si>
    <t>AFAABHDO2AR463378</t>
  </si>
  <si>
    <t xml:space="preserve">FCH 973N </t>
  </si>
  <si>
    <t>G6303482</t>
  </si>
  <si>
    <t>AFAABHDO2AR463374</t>
  </si>
  <si>
    <t>BC 2025</t>
  </si>
  <si>
    <t>BC 3890</t>
  </si>
  <si>
    <t>BC 2019</t>
  </si>
  <si>
    <t>BC 4085</t>
  </si>
  <si>
    <t>DNM 128N</t>
  </si>
  <si>
    <t>FORD FMC FIRE TRUCK</t>
  </si>
  <si>
    <t>fire</t>
  </si>
  <si>
    <t>ML93507SA06564X</t>
  </si>
  <si>
    <t>C70KVJJ5498</t>
  </si>
  <si>
    <t xml:space="preserve">1981 08 14  (1981) </t>
  </si>
  <si>
    <t>DLP 573N</t>
  </si>
  <si>
    <t xml:space="preserve">TOYOTA HILUX </t>
  </si>
  <si>
    <t>3Y0360720</t>
  </si>
  <si>
    <t>YN655003908</t>
  </si>
  <si>
    <t>1985 10 23  (1985)</t>
  </si>
  <si>
    <t xml:space="preserve">DNM 609N </t>
  </si>
  <si>
    <t xml:space="preserve">FORD </t>
  </si>
  <si>
    <t>AC5D00505</t>
  </si>
  <si>
    <t>NR534564</t>
  </si>
  <si>
    <t>DBS 223N</t>
  </si>
  <si>
    <t>243084</t>
  </si>
  <si>
    <t>ADMTFR54DAM73418</t>
  </si>
  <si>
    <t>2000 09 01  (1996)</t>
  </si>
  <si>
    <t>DBR 700N</t>
  </si>
  <si>
    <t>243076</t>
  </si>
  <si>
    <t>ADMTFR54DAM731715</t>
  </si>
  <si>
    <t>1996 05 23  (1996)</t>
  </si>
  <si>
    <t>DHN 457N</t>
  </si>
  <si>
    <t>K6070340</t>
  </si>
  <si>
    <t>NKP2BKW450696</t>
  </si>
  <si>
    <t>1997 07 18  (1997)</t>
  </si>
  <si>
    <t>DGP 620N</t>
  </si>
  <si>
    <t>TRAILOR  GLADIATOR</t>
  </si>
  <si>
    <t>SP300996</t>
  </si>
  <si>
    <t>1996 09 30  (1996)</t>
  </si>
  <si>
    <t>DKN 020N</t>
  </si>
  <si>
    <t>FRIGHT LINER</t>
  </si>
  <si>
    <t>45017422</t>
  </si>
  <si>
    <t>V23FBA6RL606773</t>
  </si>
  <si>
    <t>1994 09 27  (1994)</t>
  </si>
  <si>
    <t>DNM 608N</t>
  </si>
  <si>
    <t>FORD FIRE TRUCK</t>
  </si>
  <si>
    <t>1984 08 28  (1976)</t>
  </si>
  <si>
    <t>DRC 287N</t>
  </si>
  <si>
    <t>E13S064292D</t>
  </si>
  <si>
    <t>H055905</t>
  </si>
  <si>
    <t>1991 11 07  (1991)</t>
  </si>
  <si>
    <t>DMC 038N</t>
  </si>
  <si>
    <t>598507091</t>
  </si>
  <si>
    <t>1985 07 11  (1985)</t>
  </si>
  <si>
    <t>DMC 039N</t>
  </si>
  <si>
    <t>5988031001</t>
  </si>
  <si>
    <t>1988 03 10  (1988)</t>
  </si>
  <si>
    <t>DKR 172N</t>
  </si>
  <si>
    <t>4Y0150091</t>
  </si>
  <si>
    <t>YN679004330</t>
  </si>
  <si>
    <t>1987 09 18  (1987)</t>
  </si>
  <si>
    <t>DHL 604N</t>
  </si>
  <si>
    <t>KARET TRAILOR</t>
  </si>
  <si>
    <t>400A12V185E</t>
  </si>
  <si>
    <t>1994 01 20  (1994)</t>
  </si>
  <si>
    <t>DZS 030N</t>
  </si>
  <si>
    <t>NISSAN AMBULANCE</t>
  </si>
  <si>
    <t>L185277739R</t>
  </si>
  <si>
    <t>N4330000JO46586</t>
  </si>
  <si>
    <t>FHX 724N</t>
  </si>
  <si>
    <t>NISSAN UD 70</t>
  </si>
  <si>
    <t xml:space="preserve">MERCEDES BENZ ML350CDI </t>
  </si>
  <si>
    <t>mayor</t>
  </si>
  <si>
    <t>64282041105280</t>
  </si>
  <si>
    <t>WDC1641252A717978</t>
  </si>
  <si>
    <t>2011 09 [2011]</t>
  </si>
  <si>
    <t>DMN 832N</t>
  </si>
  <si>
    <t>NISSAN 1 TON</t>
  </si>
  <si>
    <t>NA20017766W</t>
  </si>
  <si>
    <t>ADNB0700JO54695J</t>
  </si>
  <si>
    <t>1999 03 15  (1999)</t>
  </si>
  <si>
    <t>DJZ 171N</t>
  </si>
  <si>
    <t>INTERKLAT TRECKTOR</t>
  </si>
  <si>
    <t>21351</t>
  </si>
  <si>
    <t>12658</t>
  </si>
  <si>
    <t>1999 04 05  (1979)</t>
  </si>
  <si>
    <t>DJZ 168N</t>
  </si>
  <si>
    <t>26812D019537</t>
  </si>
  <si>
    <t>B4486LJ4EDU11</t>
  </si>
  <si>
    <t>DJZ 169N</t>
  </si>
  <si>
    <t>A145143069E</t>
  </si>
  <si>
    <t>A956732</t>
  </si>
  <si>
    <t>1983 11 27  (1983)</t>
  </si>
  <si>
    <t>DJY 947N</t>
  </si>
  <si>
    <t>FE832195</t>
  </si>
  <si>
    <t>NR468536</t>
  </si>
  <si>
    <t>1991 06 25  (1991)</t>
  </si>
  <si>
    <t>DJY 946N</t>
  </si>
  <si>
    <t>SLM 10593</t>
  </si>
  <si>
    <t>1995 02 26 (1995)</t>
  </si>
  <si>
    <t>DSD 183N</t>
  </si>
  <si>
    <t xml:space="preserve">NISSAN </t>
  </si>
  <si>
    <t>NA20800831X</t>
  </si>
  <si>
    <t>ADNB07000J054699J</t>
  </si>
  <si>
    <t>1996 04 25  (1996)</t>
  </si>
  <si>
    <t>DSD 186N</t>
  </si>
  <si>
    <t>OPEL ASTRA</t>
  </si>
  <si>
    <t>16NZ02CB8572</t>
  </si>
  <si>
    <t>ADMRM19016U688256</t>
  </si>
  <si>
    <t>DZF 646N</t>
  </si>
  <si>
    <t>804506206482608</t>
  </si>
  <si>
    <t>NW7056L0001151703</t>
  </si>
  <si>
    <t>2001  08  __  (2001)</t>
  </si>
  <si>
    <t xml:space="preserve">DBN 690N </t>
  </si>
  <si>
    <t>MAZDA B 2000</t>
  </si>
  <si>
    <t>FE792654</t>
  </si>
  <si>
    <t>NR 440006</t>
  </si>
  <si>
    <t>DJZ 170N</t>
  </si>
  <si>
    <t>UNIGRADER</t>
  </si>
  <si>
    <t>LPP495A</t>
  </si>
  <si>
    <t>1980 02 10  (1980)</t>
  </si>
  <si>
    <t>NISSAN DIESEL UD 80 A</t>
  </si>
  <si>
    <t>FE6211266B</t>
  </si>
  <si>
    <t>ADDT6700000007279</t>
  </si>
  <si>
    <t>2008 06 [2008]</t>
  </si>
  <si>
    <t>FE6211349B</t>
  </si>
  <si>
    <t>ADDT6700000007367</t>
  </si>
  <si>
    <t>2008 07 [2008]</t>
  </si>
  <si>
    <t>FE6211345B</t>
  </si>
  <si>
    <t>ADDT6700000007368</t>
  </si>
  <si>
    <t>FE6211343B</t>
  </si>
  <si>
    <t>ADDT6700000007369</t>
  </si>
  <si>
    <t>2008 08 [2008]</t>
  </si>
  <si>
    <t>FE6211350B</t>
  </si>
  <si>
    <t>ADDT6700000007366</t>
  </si>
  <si>
    <t>2008 09 [2008]</t>
  </si>
  <si>
    <t>FE6211401B</t>
  </si>
  <si>
    <t>ADDT6700000007427</t>
  </si>
  <si>
    <t>NISSAN DIESEL UD 90 A</t>
  </si>
  <si>
    <t>FE6228014C</t>
  </si>
  <si>
    <t>ADDT6800000008633</t>
  </si>
  <si>
    <t>2009 08 [2009]</t>
  </si>
  <si>
    <t>BNZ 604 L</t>
  </si>
  <si>
    <t>NISSAN DIESEL UD 85 A</t>
  </si>
  <si>
    <t>FE6212593B</t>
  </si>
  <si>
    <t>ADDT6600000008525</t>
  </si>
  <si>
    <t>BYV 520 L</t>
  </si>
  <si>
    <t>FE6228017C</t>
  </si>
  <si>
    <t>ADDT6800000008632</t>
  </si>
  <si>
    <t>CATERPILLAR GRADER</t>
  </si>
  <si>
    <t>10Z54193</t>
  </si>
  <si>
    <t>CAT0140HPXZH02160</t>
  </si>
  <si>
    <t>2011 11 [2011]</t>
  </si>
  <si>
    <t>10Z53904</t>
  </si>
  <si>
    <t>CAT0140HJXZH02176</t>
  </si>
  <si>
    <t>CNG 476 L</t>
  </si>
  <si>
    <t>CNG 464 L</t>
  </si>
  <si>
    <t>CNG 468 L</t>
  </si>
  <si>
    <t>CNG 480 L</t>
  </si>
  <si>
    <t>CNN 494 L</t>
  </si>
  <si>
    <t>CNK 299 L</t>
  </si>
  <si>
    <t>CNV 683 L</t>
  </si>
  <si>
    <t>CNN 483 L</t>
  </si>
  <si>
    <t>CNK 296 L</t>
  </si>
  <si>
    <t>CNK 292 L</t>
  </si>
  <si>
    <t>CNV 357 L</t>
  </si>
  <si>
    <t>CNT 192 L</t>
  </si>
  <si>
    <t>58024</t>
  </si>
  <si>
    <t>58026</t>
  </si>
  <si>
    <t xml:space="preserve"> </t>
  </si>
  <si>
    <t>CPR 551L</t>
  </si>
  <si>
    <t>CPP 523 L</t>
  </si>
  <si>
    <t>services</t>
  </si>
  <si>
    <t>014/066/1222</t>
  </si>
  <si>
    <t>MAYOR</t>
  </si>
  <si>
    <t>037-068-1231</t>
  </si>
  <si>
    <t>VEH</t>
  </si>
  <si>
    <t>TASK</t>
  </si>
  <si>
    <t>ELEM</t>
  </si>
  <si>
    <t>VEHICLE BUDGET 2014-2015</t>
  </si>
  <si>
    <t>FORD RANGER</t>
  </si>
  <si>
    <t>DCN 723 L</t>
  </si>
  <si>
    <t>v0190</t>
  </si>
  <si>
    <t>037-056-1043</t>
  </si>
  <si>
    <t>DDC 662 L</t>
  </si>
  <si>
    <t>TRACKING DEVICE</t>
  </si>
  <si>
    <t>ISUZU KB200i 2x4 [036]</t>
  </si>
  <si>
    <t>036</t>
  </si>
  <si>
    <t>NISSAN   NP 300 4X4 [173]</t>
  </si>
  <si>
    <t>FBY 141 L</t>
  </si>
  <si>
    <t>FBY 144 L</t>
  </si>
  <si>
    <t>FBY 151 L</t>
  </si>
  <si>
    <t>FBY 155 L</t>
  </si>
  <si>
    <t>VEHICLE BUDGET 2021-2022</t>
  </si>
  <si>
    <t>DMY 716 L</t>
  </si>
  <si>
    <t>DMY 716 L [063]</t>
  </si>
  <si>
    <t>FDW 321 L</t>
  </si>
  <si>
    <t>FDW 326 L</t>
  </si>
  <si>
    <t>FDW 448 L</t>
  </si>
  <si>
    <t>FDX 372 L</t>
  </si>
  <si>
    <t>BELL Motor Grader</t>
  </si>
  <si>
    <t>FNY 389 L</t>
  </si>
  <si>
    <t>MASSEY FERGUSON DLG 104 N</t>
  </si>
  <si>
    <t>DMY 782 L [063]</t>
  </si>
  <si>
    <t>FORD TRACTOR DLV 293 N</t>
  </si>
  <si>
    <t>DMY 792 L</t>
  </si>
  <si>
    <t>DMY 731 L</t>
  </si>
  <si>
    <t>NEW HOLLAND DWD352N</t>
  </si>
  <si>
    <t>FORD TRACTOR BGC439N</t>
  </si>
  <si>
    <t>DMY 713 L</t>
  </si>
  <si>
    <t>NEW HOLLAND DZF646N</t>
  </si>
  <si>
    <t>DMY 736 L</t>
  </si>
  <si>
    <t>FNP 877 L</t>
  </si>
  <si>
    <t>BZN 610 L</t>
  </si>
  <si>
    <t>HERSOFAM DNR343N</t>
  </si>
  <si>
    <t>ATLAS COMPR DNK346L</t>
  </si>
  <si>
    <t>DMY 766 L</t>
  </si>
  <si>
    <t>GALLION DKX035N</t>
  </si>
  <si>
    <t>DPR 373 L</t>
  </si>
  <si>
    <t>WINGET DUMPER DLG106N</t>
  </si>
  <si>
    <t>DMY 829 L</t>
  </si>
  <si>
    <t>FLEXIAN TRAILER DNB886N</t>
  </si>
  <si>
    <t>DMY 831 L</t>
  </si>
  <si>
    <t>DKN 794 L [105]</t>
  </si>
  <si>
    <t>Total Insurance</t>
  </si>
  <si>
    <t>FRK 231 L</t>
  </si>
  <si>
    <t>Test Station Trailer</t>
  </si>
  <si>
    <t>UD Truck horse</t>
  </si>
  <si>
    <t>Hino 500</t>
  </si>
  <si>
    <t>FRK 226 L</t>
  </si>
  <si>
    <t xml:space="preserve">    </t>
  </si>
  <si>
    <t>V0200</t>
  </si>
  <si>
    <t>Generators</t>
  </si>
  <si>
    <t>Goerges Val Purification work</t>
  </si>
  <si>
    <t xml:space="preserve">Tzaneen Purification </t>
  </si>
  <si>
    <t>Saagmeul</t>
  </si>
  <si>
    <t>Letstele</t>
  </si>
  <si>
    <t>TZN sewerplant</t>
  </si>
  <si>
    <t>Generator Hoof gebou</t>
  </si>
  <si>
    <t>Nuwe Voertuie</t>
  </si>
  <si>
    <t>POLE TRAILER DKX038N</t>
  </si>
  <si>
    <t>DMY 811 L [063]</t>
  </si>
  <si>
    <t>JCB  DJH087N</t>
  </si>
  <si>
    <t>DMY 721 L</t>
  </si>
  <si>
    <t>NEW HOLLAND DWD351N</t>
  </si>
  <si>
    <t>DMY 724 L</t>
  </si>
  <si>
    <t>FLAT DECK - SPIDER DXV047N</t>
  </si>
  <si>
    <t>DMY 705 L</t>
  </si>
  <si>
    <t>DMY 735 L</t>
  </si>
  <si>
    <t xml:space="preserve"> Venter TRAILER DJY496N</t>
  </si>
  <si>
    <t>JCB Autiond Nov 2023 BCC135N</t>
  </si>
  <si>
    <t>DMP 673 L</t>
  </si>
  <si>
    <t>JCB Auctioned Nov 2023 BCC136N</t>
  </si>
  <si>
    <t>DMP 676 L</t>
  </si>
  <si>
    <t>JCB Auctioned Nov 2023 BCC137N</t>
  </si>
  <si>
    <t>DMY 861 L</t>
  </si>
  <si>
    <t>FORD TRACTOR DLG112N</t>
  </si>
  <si>
    <t>DMY 779 L</t>
  </si>
  <si>
    <t>POLE TRAILER DLV291N</t>
  </si>
  <si>
    <t>DMY 814 L</t>
  </si>
  <si>
    <t>POLE TRAILER DKX039N</t>
  </si>
  <si>
    <t>DMY 808 L</t>
  </si>
  <si>
    <t xml:space="preserve"> HERSOFAM DNR351N</t>
  </si>
  <si>
    <t>DMY 758 L</t>
  </si>
  <si>
    <t>WATERTANKER DNR343N</t>
  </si>
  <si>
    <t>DMY 815 L</t>
  </si>
  <si>
    <t>FERGUSON TRAILER DKN793N</t>
  </si>
  <si>
    <t>DMY 797 L</t>
  </si>
  <si>
    <t>BOMAG TRAILER DNB899N</t>
  </si>
  <si>
    <t>DRG 008 L</t>
  </si>
  <si>
    <t>WRIGHT 120G Auctioned Nov 2022 DLG101N</t>
  </si>
  <si>
    <t>DMY 864 L</t>
  </si>
  <si>
    <t>DMY 770 L</t>
  </si>
  <si>
    <t>TRAILER DLF731N</t>
  </si>
  <si>
    <t>DRP 368 L</t>
  </si>
  <si>
    <t>TRAILER BAKRAK DLG098N</t>
  </si>
  <si>
    <t>ATLAS COPCO DNB889N</t>
  </si>
  <si>
    <t>DMY 821 L</t>
  </si>
  <si>
    <t>BOMAG DMS578N</t>
  </si>
  <si>
    <t>HERSOFAM DNB893N</t>
  </si>
  <si>
    <t>DMY 773 L</t>
  </si>
  <si>
    <t>LAWNMOWER TRAIL DMS582N</t>
  </si>
  <si>
    <t>DMY 820 L</t>
  </si>
  <si>
    <t>VERMEER 620 BC DNP901N</t>
  </si>
  <si>
    <t>DTL 421 L</t>
  </si>
  <si>
    <t>DMY 822 L</t>
  </si>
  <si>
    <t>VENTER ELITE DLV309N</t>
  </si>
  <si>
    <t>DMY 774 L</t>
  </si>
  <si>
    <t>VENTER TRAILER DLV304N</t>
  </si>
  <si>
    <t>DMY 775 L</t>
  </si>
  <si>
    <t>increase Licence</t>
  </si>
  <si>
    <t>Generral increase treasury.</t>
  </si>
  <si>
    <t>Eskaltion tracking device</t>
  </si>
  <si>
    <t>HDP 509 L</t>
  </si>
  <si>
    <t>HDP 506 L</t>
  </si>
  <si>
    <t>KomatsuGrader</t>
  </si>
  <si>
    <t>Toyota Land Cruiser</t>
  </si>
  <si>
    <t>FORTUNER</t>
  </si>
  <si>
    <t>FYV 164 L</t>
  </si>
  <si>
    <t>VOLKSWAGEN</t>
  </si>
  <si>
    <t>HDH 837 L</t>
  </si>
  <si>
    <t>CMB 481 L</t>
  </si>
  <si>
    <t>FDY 151L</t>
  </si>
  <si>
    <t>VEHICLE BUDGET 2025-2026</t>
  </si>
  <si>
    <t xml:space="preserve"> DNB 080 L</t>
  </si>
  <si>
    <t>JRY 430 L</t>
  </si>
  <si>
    <t>JVY 458 L</t>
  </si>
  <si>
    <t>JVY 451 L</t>
  </si>
  <si>
    <t>Ford Ranger 2 Sin cab 4x4</t>
  </si>
  <si>
    <t>HFY 235 L</t>
  </si>
  <si>
    <t>Ford Ranger 2 Sin cab 4x5</t>
  </si>
  <si>
    <t>HFY 237 L</t>
  </si>
  <si>
    <t>HFY 231 L</t>
  </si>
  <si>
    <t>HFY 236 L</t>
  </si>
  <si>
    <t>FMY 486 L</t>
  </si>
  <si>
    <t>Isuzu Fin 850 7t Compactort</t>
  </si>
  <si>
    <t>HFF209L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</si>
</sst>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 * #,##0.00_ ;_ * \-#,##0.00_ ;_ * &quot;-&quot;??_ ;_ @_ "/>
    <numFmt numFmtId="166" formatCode="0_);\(0\)"/>
    <numFmt numFmtId="167" formatCode="#,##0.00_ ;[Red]\-#,##0.00\ "/>
    <numFmt numFmtId="168" formatCode="#,##0;[Red]#,##0"/>
    <numFmt numFmtId="169" formatCode="_(* #,##0_);_(* \(#,##0\);_(* &quot;-&quot;??_);_(@_)"/>
    <numFmt numFmtId="170" formatCode="#,##0_ ;\-#,##0\ "/>
    <numFmt numFmtId="171" formatCode="&quot;R&quot;\ #,##0.00"/>
  </numFmts>
  <fonts count="42" x14ac:knownFonts="1">
    <font>
      <sz val="10"/>
      <name val="Arial"/>
    </font>
    <font>
      <sz val="10"/>
      <name val="Arial"/>
      <family val="2"/>
    </font>
    <font>
      <b/>
      <u/>
      <sz val="8"/>
      <name val="Consolas"/>
      <family val="3"/>
    </font>
    <font>
      <sz val="8"/>
      <name val="Consolas"/>
      <family val="3"/>
    </font>
    <font>
      <b/>
      <sz val="8"/>
      <name val="Consolas"/>
      <family val="3"/>
    </font>
    <font>
      <sz val="8"/>
      <color indexed="12"/>
      <name val="Consolas"/>
      <family val="3"/>
    </font>
    <font>
      <sz val="8"/>
      <name val="Arial"/>
      <family val="2"/>
    </font>
    <font>
      <b/>
      <sz val="14"/>
      <name val="Arial"/>
      <family val="2"/>
    </font>
    <font>
      <b/>
      <sz val="8"/>
      <color rgb="FFFF0000"/>
      <name val="Consolas"/>
      <family val="3"/>
    </font>
    <font>
      <b/>
      <sz val="8"/>
      <name val="Calibri"/>
      <family val="2"/>
    </font>
    <font>
      <b/>
      <sz val="7"/>
      <name val="Calibri"/>
      <family val="2"/>
      <scheme val="minor"/>
    </font>
    <font>
      <sz val="10"/>
      <name val="Microsoft Sans Serif"/>
      <family val="2"/>
    </font>
    <font>
      <b/>
      <sz val="10"/>
      <name val="Microsoft Sans Serif"/>
      <family val="2"/>
    </font>
    <font>
      <b/>
      <sz val="10"/>
      <color theme="1"/>
      <name val="Consolas"/>
      <family val="3"/>
    </font>
    <font>
      <sz val="10"/>
      <color theme="1"/>
      <name val="Consolas"/>
      <family val="3"/>
    </font>
    <font>
      <sz val="8"/>
      <name val="Agency FB"/>
      <family val="2"/>
    </font>
    <font>
      <sz val="6"/>
      <name val="Consolas"/>
      <family val="3"/>
    </font>
    <font>
      <sz val="8"/>
      <color theme="1"/>
      <name val="Consolas"/>
      <family val="3"/>
    </font>
    <font>
      <b/>
      <sz val="9"/>
      <color theme="1"/>
      <name val="Consolas"/>
      <family val="3"/>
    </font>
    <font>
      <b/>
      <sz val="9"/>
      <name val="Consolas"/>
      <family val="3"/>
    </font>
    <font>
      <sz val="9"/>
      <color theme="1"/>
      <name val="Consolas"/>
      <family val="3"/>
    </font>
    <font>
      <sz val="9"/>
      <name val="Consolas"/>
      <family val="3"/>
    </font>
    <font>
      <sz val="7"/>
      <name val="Consolas"/>
      <family val="3"/>
    </font>
    <font>
      <b/>
      <sz val="7"/>
      <name val="Consolas"/>
      <family val="3"/>
    </font>
    <font>
      <u/>
      <sz val="10"/>
      <color indexed="12"/>
      <name val="Arial"/>
      <family val="2"/>
    </font>
    <font>
      <u/>
      <sz val="8"/>
      <color indexed="12"/>
      <name val="Consolas"/>
      <family val="3"/>
    </font>
    <font>
      <sz val="8"/>
      <color rgb="FFFF0000"/>
      <name val="Consolas"/>
      <family val="3"/>
    </font>
    <font>
      <sz val="10"/>
      <name val="Dotum"/>
      <family val="2"/>
    </font>
    <font>
      <b/>
      <i/>
      <u/>
      <sz val="10"/>
      <name val="Dotum"/>
      <family val="2"/>
    </font>
    <font>
      <sz val="10"/>
      <color theme="1"/>
      <name val="Dotum"/>
      <family val="2"/>
    </font>
    <font>
      <b/>
      <u/>
      <sz val="12"/>
      <name val="Consolas"/>
      <family val="3"/>
    </font>
    <font>
      <sz val="12"/>
      <name val="Consolas"/>
      <family val="3"/>
    </font>
    <font>
      <b/>
      <sz val="12"/>
      <name val="Consolas"/>
      <family val="3"/>
    </font>
    <font>
      <b/>
      <sz val="12"/>
      <color theme="0" tint="-0.34998626667073579"/>
      <name val="Consolas"/>
      <family val="3"/>
    </font>
    <font>
      <sz val="12"/>
      <color theme="0" tint="-0.34998626667073579"/>
      <name val="Consolas"/>
      <family val="3"/>
    </font>
    <font>
      <b/>
      <sz val="12"/>
      <color theme="0" tint="-0.249977111117893"/>
      <name val="Consolas"/>
      <family val="3"/>
    </font>
    <font>
      <sz val="12"/>
      <color theme="0" tint="-0.249977111117893"/>
      <name val="Consolas"/>
      <family val="3"/>
    </font>
    <font>
      <b/>
      <u/>
      <sz val="10"/>
      <name val="Consolas"/>
      <family val="3"/>
    </font>
    <font>
      <sz val="10"/>
      <name val="Consolas"/>
      <family val="3"/>
    </font>
    <font>
      <b/>
      <sz val="10"/>
      <name val="Consolas"/>
      <family val="3"/>
    </font>
    <font>
      <sz val="10"/>
      <color theme="0" tint="-0.34998626667073579"/>
      <name val="Consolas"/>
      <family val="3"/>
    </font>
    <font>
      <sz val="10"/>
      <color theme="0" tint="-0.249977111117893"/>
      <name val="Consolas"/>
      <family val="3"/>
    </font>
  </fonts>
  <fills count="3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70C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/>
      <diagonal/>
    </border>
    <border>
      <left style="medium">
        <color indexed="64"/>
      </left>
      <right style="thin">
        <color indexed="53"/>
      </right>
      <top style="medium">
        <color indexed="64"/>
      </top>
      <bottom/>
      <diagonal/>
    </border>
    <border>
      <left style="thin">
        <color indexed="53"/>
      </left>
      <right style="thin">
        <color indexed="53"/>
      </right>
      <top style="medium">
        <color indexed="64"/>
      </top>
      <bottom/>
      <diagonal/>
    </border>
    <border>
      <left style="thin">
        <color indexed="53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</cellStyleXfs>
  <cellXfs count="56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/>
    <xf numFmtId="0" fontId="3" fillId="0" borderId="0" xfId="0" applyFont="1" applyAlignment="1">
      <alignment horizontal="center"/>
    </xf>
    <xf numFmtId="164" fontId="3" fillId="0" borderId="0" xfId="1" applyFont="1" applyFill="1" applyBorder="1"/>
    <xf numFmtId="168" fontId="3" fillId="0" borderId="1" xfId="0" applyNumberFormat="1" applyFont="1" applyBorder="1" applyAlignment="1">
      <alignment horizontal="center"/>
    </xf>
    <xf numFmtId="0" fontId="4" fillId="0" borderId="0" xfId="0" applyFont="1"/>
    <xf numFmtId="0" fontId="3" fillId="0" borderId="1" xfId="0" applyFont="1" applyBorder="1"/>
    <xf numFmtId="164" fontId="3" fillId="0" borderId="1" xfId="1" applyFont="1" applyBorder="1"/>
    <xf numFmtId="164" fontId="4" fillId="0" borderId="1" xfId="1" applyFont="1" applyBorder="1"/>
    <xf numFmtId="164" fontId="3" fillId="0" borderId="0" xfId="1" applyFont="1"/>
    <xf numFmtId="168" fontId="4" fillId="0" borderId="1" xfId="0" applyNumberFormat="1" applyFont="1" applyBorder="1" applyAlignment="1">
      <alignment horizontal="center"/>
    </xf>
    <xf numFmtId="168" fontId="3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0" xfId="1" applyFont="1" applyBorder="1"/>
    <xf numFmtId="164" fontId="3" fillId="0" borderId="0" xfId="1" applyFont="1" applyBorder="1" applyAlignment="1">
      <alignment horizontal="center"/>
    </xf>
    <xf numFmtId="164" fontId="4" fillId="0" borderId="0" xfId="1" applyFont="1" applyFill="1" applyBorder="1"/>
    <xf numFmtId="0" fontId="4" fillId="0" borderId="1" xfId="0" applyFont="1" applyBorder="1" applyAlignment="1">
      <alignment horizontal="center"/>
    </xf>
    <xf numFmtId="164" fontId="3" fillId="0" borderId="1" xfId="1" applyFont="1" applyBorder="1" applyAlignment="1">
      <alignment horizontal="center"/>
    </xf>
    <xf numFmtId="165" fontId="3" fillId="0" borderId="0" xfId="0" applyNumberFormat="1" applyFont="1"/>
    <xf numFmtId="164" fontId="3" fillId="0" borderId="0" xfId="1" applyFont="1" applyAlignment="1">
      <alignment horizontal="center"/>
    </xf>
    <xf numFmtId="164" fontId="3" fillId="0" borderId="1" xfId="1" quotePrefix="1" applyFont="1" applyBorder="1"/>
    <xf numFmtId="164" fontId="3" fillId="0" borderId="8" xfId="1" applyFont="1" applyBorder="1"/>
    <xf numFmtId="164" fontId="4" fillId="0" borderId="1" xfId="1" applyFont="1" applyFill="1" applyBorder="1"/>
    <xf numFmtId="164" fontId="4" fillId="0" borderId="8" xfId="1" applyFont="1" applyBorder="1"/>
    <xf numFmtId="164" fontId="4" fillId="0" borderId="0" xfId="1" applyFont="1" applyBorder="1" applyAlignment="1">
      <alignment horizontal="center"/>
    </xf>
    <xf numFmtId="164" fontId="4" fillId="0" borderId="0" xfId="1" quotePrefix="1" applyFont="1" applyBorder="1" applyAlignment="1">
      <alignment horizontal="center"/>
    </xf>
    <xf numFmtId="164" fontId="3" fillId="0" borderId="1" xfId="1" applyFont="1" applyFill="1" applyBorder="1"/>
    <xf numFmtId="0" fontId="4" fillId="0" borderId="0" xfId="0" applyFont="1" applyAlignment="1">
      <alignment horizontal="center"/>
    </xf>
    <xf numFmtId="168" fontId="4" fillId="0" borderId="0" xfId="0" applyNumberFormat="1" applyFont="1" applyAlignment="1">
      <alignment horizontal="center"/>
    </xf>
    <xf numFmtId="164" fontId="4" fillId="0" borderId="0" xfId="1" applyFont="1" applyBorder="1"/>
    <xf numFmtId="0" fontId="4" fillId="0" borderId="0" xfId="0" quotePrefix="1" applyFont="1"/>
    <xf numFmtId="166" fontId="4" fillId="0" borderId="0" xfId="0" applyNumberFormat="1" applyFont="1" applyAlignment="1">
      <alignment horizontal="center"/>
    </xf>
    <xf numFmtId="164" fontId="4" fillId="0" borderId="0" xfId="1" applyFont="1" applyFill="1" applyBorder="1" applyAlignment="1">
      <alignment horizontal="center"/>
    </xf>
    <xf numFmtId="164" fontId="4" fillId="0" borderId="0" xfId="1" applyFont="1"/>
    <xf numFmtId="0" fontId="3" fillId="0" borderId="10" xfId="0" applyFont="1" applyBorder="1"/>
    <xf numFmtId="164" fontId="3" fillId="0" borderId="8" xfId="1" applyFont="1" applyFill="1" applyBorder="1"/>
    <xf numFmtId="164" fontId="3" fillId="0" borderId="0" xfId="1" applyFont="1" applyFill="1" applyBorder="1" applyAlignment="1">
      <alignment horizontal="center"/>
    </xf>
    <xf numFmtId="164" fontId="4" fillId="0" borderId="8" xfId="1" applyFont="1" applyFill="1" applyBorder="1"/>
    <xf numFmtId="164" fontId="4" fillId="0" borderId="0" xfId="1" quotePrefix="1" applyFont="1" applyFill="1" applyBorder="1" applyAlignment="1">
      <alignment horizontal="center"/>
    </xf>
    <xf numFmtId="0" fontId="3" fillId="0" borderId="1" xfId="0" quotePrefix="1" applyFont="1" applyBorder="1"/>
    <xf numFmtId="164" fontId="4" fillId="0" borderId="1" xfId="1" applyFont="1" applyBorder="1" applyAlignment="1">
      <alignment horizontal="center"/>
    </xf>
    <xf numFmtId="164" fontId="3" fillId="0" borderId="1" xfId="1" quotePrefix="1" applyFont="1" applyBorder="1" applyAlignment="1">
      <alignment horizontal="center"/>
    </xf>
    <xf numFmtId="10" fontId="3" fillId="0" borderId="0" xfId="0" applyNumberFormat="1" applyFont="1"/>
    <xf numFmtId="9" fontId="3" fillId="0" borderId="0" xfId="0" applyNumberFormat="1" applyFont="1"/>
    <xf numFmtId="164" fontId="5" fillId="0" borderId="0" xfId="0" quotePrefix="1" applyNumberFormat="1" applyFont="1"/>
    <xf numFmtId="164" fontId="3" fillId="0" borderId="1" xfId="1" quotePrefix="1" applyFont="1" applyFill="1" applyBorder="1"/>
    <xf numFmtId="164" fontId="3" fillId="0" borderId="0" xfId="0" applyNumberFormat="1" applyFont="1"/>
    <xf numFmtId="164" fontId="3" fillId="0" borderId="0" xfId="1" applyFont="1" applyFill="1"/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168" fontId="4" fillId="3" borderId="1" xfId="0" applyNumberFormat="1" applyFont="1" applyFill="1" applyBorder="1" applyAlignment="1">
      <alignment horizontal="center"/>
    </xf>
    <xf numFmtId="164" fontId="4" fillId="3" borderId="1" xfId="1" applyFont="1" applyFill="1" applyBorder="1"/>
    <xf numFmtId="164" fontId="4" fillId="3" borderId="1" xfId="1" applyFont="1" applyFill="1" applyBorder="1" applyAlignment="1">
      <alignment horizontal="center"/>
    </xf>
    <xf numFmtId="0" fontId="2" fillId="3" borderId="11" xfId="0" applyFont="1" applyFill="1" applyBorder="1"/>
    <xf numFmtId="0" fontId="2" fillId="3" borderId="12" xfId="0" applyFont="1" applyFill="1" applyBorder="1" applyAlignment="1">
      <alignment horizontal="center"/>
    </xf>
    <xf numFmtId="0" fontId="4" fillId="3" borderId="13" xfId="0" applyFont="1" applyFill="1" applyBorder="1"/>
    <xf numFmtId="0" fontId="4" fillId="3" borderId="9" xfId="0" applyFont="1" applyFill="1" applyBorder="1" applyAlignment="1">
      <alignment horizontal="center"/>
    </xf>
    <xf numFmtId="168" fontId="4" fillId="3" borderId="9" xfId="0" applyNumberFormat="1" applyFont="1" applyFill="1" applyBorder="1" applyAlignment="1">
      <alignment horizontal="center"/>
    </xf>
    <xf numFmtId="164" fontId="4" fillId="3" borderId="9" xfId="1" applyFont="1" applyFill="1" applyBorder="1" applyAlignment="1">
      <alignment horizontal="center"/>
    </xf>
    <xf numFmtId="164" fontId="4" fillId="3" borderId="14" xfId="1" applyFont="1" applyFill="1" applyBorder="1" applyAlignment="1">
      <alignment horizontal="center"/>
    </xf>
    <xf numFmtId="0" fontId="4" fillId="4" borderId="1" xfId="0" applyFont="1" applyFill="1" applyBorder="1"/>
    <xf numFmtId="0" fontId="4" fillId="4" borderId="1" xfId="0" applyFont="1" applyFill="1" applyBorder="1" applyAlignment="1">
      <alignment horizontal="center"/>
    </xf>
    <xf numFmtId="168" fontId="4" fillId="4" borderId="1" xfId="0" applyNumberFormat="1" applyFont="1" applyFill="1" applyBorder="1" applyAlignment="1">
      <alignment horizontal="center"/>
    </xf>
    <xf numFmtId="164" fontId="4" fillId="4" borderId="1" xfId="1" applyFont="1" applyFill="1" applyBorder="1"/>
    <xf numFmtId="168" fontId="4" fillId="4" borderId="10" xfId="0" applyNumberFormat="1" applyFont="1" applyFill="1" applyBorder="1" applyAlignment="1">
      <alignment horizontal="center"/>
    </xf>
    <xf numFmtId="168" fontId="3" fillId="4" borderId="1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2" fillId="4" borderId="1" xfId="0" applyFont="1" applyFill="1" applyBorder="1"/>
    <xf numFmtId="0" fontId="3" fillId="4" borderId="1" xfId="0" applyFont="1" applyFill="1" applyBorder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justify" vertical="center" wrapText="1" shrinkToFit="1"/>
    </xf>
    <xf numFmtId="164" fontId="3" fillId="3" borderId="1" xfId="1" applyFont="1" applyFill="1" applyBorder="1"/>
    <xf numFmtId="0" fontId="4" fillId="5" borderId="13" xfId="0" applyFont="1" applyFill="1" applyBorder="1"/>
    <xf numFmtId="0" fontId="4" fillId="5" borderId="9" xfId="0" applyFont="1" applyFill="1" applyBorder="1" applyAlignment="1">
      <alignment horizontal="center"/>
    </xf>
    <xf numFmtId="168" fontId="4" fillId="5" borderId="9" xfId="0" applyNumberFormat="1" applyFont="1" applyFill="1" applyBorder="1" applyAlignment="1">
      <alignment horizontal="center"/>
    </xf>
    <xf numFmtId="164" fontId="4" fillId="5" borderId="9" xfId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64" fontId="3" fillId="0" borderId="0" xfId="1" quotePrefix="1" applyFont="1" applyBorder="1" applyAlignment="1">
      <alignment horizontal="center"/>
    </xf>
    <xf numFmtId="164" fontId="4" fillId="0" borderId="0" xfId="1" applyFont="1" applyAlignment="1">
      <alignment horizontal="center"/>
    </xf>
    <xf numFmtId="168" fontId="4" fillId="3" borderId="15" xfId="0" applyNumberFormat="1" applyFont="1" applyFill="1" applyBorder="1" applyAlignment="1">
      <alignment horizontal="center"/>
    </xf>
    <xf numFmtId="167" fontId="4" fillId="3" borderId="15" xfId="0" applyNumberFormat="1" applyFont="1" applyFill="1" applyBorder="1" applyAlignment="1">
      <alignment horizontal="center"/>
    </xf>
    <xf numFmtId="0" fontId="4" fillId="0" borderId="11" xfId="0" applyFont="1" applyBorder="1"/>
    <xf numFmtId="0" fontId="4" fillId="0" borderId="16" xfId="0" applyFont="1" applyBorder="1" applyAlignment="1">
      <alignment horizontal="center"/>
    </xf>
    <xf numFmtId="168" fontId="4" fillId="0" borderId="13" xfId="0" applyNumberFormat="1" applyFont="1" applyBorder="1" applyAlignment="1">
      <alignment horizontal="center"/>
    </xf>
    <xf numFmtId="167" fontId="4" fillId="0" borderId="9" xfId="0" applyNumberFormat="1" applyFont="1" applyBorder="1" applyAlignment="1">
      <alignment horizontal="center"/>
    </xf>
    <xf numFmtId="164" fontId="8" fillId="0" borderId="0" xfId="1" applyFont="1"/>
    <xf numFmtId="0" fontId="6" fillId="0" borderId="17" xfId="0" applyFont="1" applyBorder="1" applyAlignment="1">
      <alignment horizontal="center"/>
    </xf>
    <xf numFmtId="167" fontId="6" fillId="0" borderId="17" xfId="0" applyNumberFormat="1" applyFont="1" applyBorder="1"/>
    <xf numFmtId="167" fontId="6" fillId="6" borderId="17" xfId="0" applyNumberFormat="1" applyFont="1" applyFill="1" applyBorder="1"/>
    <xf numFmtId="167" fontId="6" fillId="6" borderId="0" xfId="0" applyNumberFormat="1" applyFont="1" applyFill="1"/>
    <xf numFmtId="167" fontId="6" fillId="0" borderId="18" xfId="0" applyNumberFormat="1" applyFont="1" applyBorder="1"/>
    <xf numFmtId="167" fontId="6" fillId="0" borderId="0" xfId="0" applyNumberFormat="1" applyFont="1"/>
    <xf numFmtId="0" fontId="6" fillId="0" borderId="0" xfId="0" applyFont="1"/>
    <xf numFmtId="0" fontId="6" fillId="7" borderId="17" xfId="0" quotePrefix="1" applyFont="1" applyFill="1" applyBorder="1" applyAlignment="1">
      <alignment horizontal="center"/>
    </xf>
    <xf numFmtId="167" fontId="6" fillId="7" borderId="17" xfId="0" applyNumberFormat="1" applyFont="1" applyFill="1" applyBorder="1"/>
    <xf numFmtId="167" fontId="6" fillId="7" borderId="17" xfId="0" quotePrefix="1" applyNumberFormat="1" applyFont="1" applyFill="1" applyBorder="1"/>
    <xf numFmtId="167" fontId="6" fillId="6" borderId="17" xfId="0" quotePrefix="1" applyNumberFormat="1" applyFont="1" applyFill="1" applyBorder="1"/>
    <xf numFmtId="167" fontId="6" fillId="7" borderId="0" xfId="0" applyNumberFormat="1" applyFont="1" applyFill="1"/>
    <xf numFmtId="0" fontId="6" fillId="7" borderId="17" xfId="0" applyFont="1" applyFill="1" applyBorder="1" applyAlignment="1">
      <alignment horizontal="center"/>
    </xf>
    <xf numFmtId="0" fontId="6" fillId="8" borderId="17" xfId="0" applyFont="1" applyFill="1" applyBorder="1" applyAlignment="1">
      <alignment horizontal="center"/>
    </xf>
    <xf numFmtId="167" fontId="6" fillId="8" borderId="17" xfId="0" applyNumberFormat="1" applyFont="1" applyFill="1" applyBorder="1"/>
    <xf numFmtId="167" fontId="6" fillId="8" borderId="0" xfId="0" applyNumberFormat="1" applyFont="1" applyFill="1"/>
    <xf numFmtId="167" fontId="6" fillId="8" borderId="17" xfId="0" quotePrefix="1" applyNumberFormat="1" applyFont="1" applyFill="1" applyBorder="1"/>
    <xf numFmtId="167" fontId="6" fillId="0" borderId="17" xfId="0" quotePrefix="1" applyNumberFormat="1" applyFont="1" applyBorder="1"/>
    <xf numFmtId="0" fontId="6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167" fontId="7" fillId="0" borderId="0" xfId="0" applyNumberFormat="1" applyFont="1"/>
    <xf numFmtId="49" fontId="6" fillId="0" borderId="0" xfId="0" applyNumberFormat="1" applyFont="1"/>
    <xf numFmtId="164" fontId="4" fillId="9" borderId="0" xfId="1" quotePrefix="1" applyFont="1" applyFill="1" applyBorder="1" applyAlignment="1">
      <alignment horizontal="center"/>
    </xf>
    <xf numFmtId="164" fontId="4" fillId="0" borderId="1" xfId="1" quotePrefix="1" applyFont="1" applyFill="1" applyBorder="1"/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20" xfId="0" quotePrefix="1" applyFont="1" applyBorder="1"/>
    <xf numFmtId="0" fontId="4" fillId="0" borderId="20" xfId="0" applyFont="1" applyBorder="1"/>
    <xf numFmtId="0" fontId="4" fillId="0" borderId="20" xfId="0" applyFont="1" applyBorder="1" applyAlignment="1">
      <alignment horizontal="center"/>
    </xf>
    <xf numFmtId="168" fontId="4" fillId="0" borderId="20" xfId="0" applyNumberFormat="1" applyFont="1" applyBorder="1" applyAlignment="1">
      <alignment horizontal="center"/>
    </xf>
    <xf numFmtId="164" fontId="4" fillId="0" borderId="20" xfId="1" applyFont="1" applyFill="1" applyBorder="1" applyAlignment="1">
      <alignment horizontal="center"/>
    </xf>
    <xf numFmtId="164" fontId="4" fillId="0" borderId="20" xfId="1" quotePrefix="1" applyFont="1" applyFill="1" applyBorder="1" applyAlignment="1">
      <alignment horizontal="center"/>
    </xf>
    <xf numFmtId="164" fontId="4" fillId="0" borderId="20" xfId="1" applyFont="1" applyFill="1" applyBorder="1"/>
    <xf numFmtId="168" fontId="4" fillId="0" borderId="9" xfId="0" applyNumberFormat="1" applyFont="1" applyBorder="1" applyAlignment="1">
      <alignment horizontal="center"/>
    </xf>
    <xf numFmtId="164" fontId="3" fillId="9" borderId="0" xfId="1" applyFont="1" applyFill="1" applyBorder="1" applyAlignment="1">
      <alignment horizontal="center"/>
    </xf>
    <xf numFmtId="0" fontId="10" fillId="0" borderId="0" xfId="0" applyFont="1"/>
    <xf numFmtId="164" fontId="3" fillId="0" borderId="0" xfId="1" quotePrefix="1" applyFont="1" applyFill="1" applyBorder="1" applyAlignment="1">
      <alignment horizontal="center"/>
    </xf>
    <xf numFmtId="0" fontId="1" fillId="0" borderId="0" xfId="0" applyFont="1"/>
    <xf numFmtId="0" fontId="11" fillId="0" borderId="0" xfId="0" applyFont="1"/>
    <xf numFmtId="0" fontId="12" fillId="26" borderId="13" xfId="0" applyFont="1" applyFill="1" applyBorder="1" applyAlignment="1">
      <alignment horizontal="center"/>
    </xf>
    <xf numFmtId="0" fontId="12" fillId="26" borderId="21" xfId="0" applyFont="1" applyFill="1" applyBorder="1" applyAlignment="1">
      <alignment horizontal="center"/>
    </xf>
    <xf numFmtId="0" fontId="12" fillId="26" borderId="9" xfId="0" applyFont="1" applyFill="1" applyBorder="1" applyAlignment="1">
      <alignment horizontal="center" wrapText="1"/>
    </xf>
    <xf numFmtId="2" fontId="12" fillId="26" borderId="14" xfId="0" applyNumberFormat="1" applyFont="1" applyFill="1" applyBorder="1" applyAlignment="1">
      <alignment horizontal="center" wrapText="1"/>
    </xf>
    <xf numFmtId="0" fontId="11" fillId="0" borderId="22" xfId="0" applyFont="1" applyBorder="1"/>
    <xf numFmtId="0" fontId="11" fillId="0" borderId="23" xfId="0" applyFont="1" applyBorder="1"/>
    <xf numFmtId="1" fontId="11" fillId="0" borderId="24" xfId="0" applyNumberFormat="1" applyFont="1" applyBorder="1" applyAlignment="1">
      <alignment horizontal="right"/>
    </xf>
    <xf numFmtId="2" fontId="11" fillId="0" borderId="24" xfId="0" applyNumberFormat="1" applyFont="1" applyBorder="1" applyAlignment="1">
      <alignment horizontal="center"/>
    </xf>
    <xf numFmtId="171" fontId="11" fillId="0" borderId="24" xfId="0" applyNumberFormat="1" applyFont="1" applyBorder="1"/>
    <xf numFmtId="171" fontId="11" fillId="0" borderId="25" xfId="0" applyNumberFormat="1" applyFont="1" applyBorder="1"/>
    <xf numFmtId="171" fontId="1" fillId="0" borderId="0" xfId="0" applyNumberFormat="1" applyFont="1"/>
    <xf numFmtId="16" fontId="11" fillId="0" borderId="23" xfId="0" applyNumberFormat="1" applyFont="1" applyBorder="1"/>
    <xf numFmtId="1" fontId="11" fillId="0" borderId="23" xfId="0" applyNumberFormat="1" applyFont="1" applyBorder="1"/>
    <xf numFmtId="0" fontId="11" fillId="0" borderId="22" xfId="0" applyFont="1" applyBorder="1" applyAlignment="1">
      <alignment horizontal="left"/>
    </xf>
    <xf numFmtId="1" fontId="11" fillId="0" borderId="23" xfId="0" applyNumberFormat="1" applyFont="1" applyBorder="1" applyAlignment="1">
      <alignment horizontal="left"/>
    </xf>
    <xf numFmtId="0" fontId="11" fillId="0" borderId="26" xfId="0" applyFont="1" applyBorder="1"/>
    <xf numFmtId="0" fontId="11" fillId="0" borderId="27" xfId="0" applyFont="1" applyBorder="1"/>
    <xf numFmtId="1" fontId="11" fillId="0" borderId="28" xfId="0" applyNumberFormat="1" applyFont="1" applyBorder="1" applyAlignment="1">
      <alignment horizontal="right"/>
    </xf>
    <xf numFmtId="2" fontId="11" fillId="0" borderId="28" xfId="0" applyNumberFormat="1" applyFont="1" applyBorder="1" applyAlignment="1">
      <alignment horizontal="center"/>
    </xf>
    <xf numFmtId="171" fontId="11" fillId="0" borderId="28" xfId="0" applyNumberFormat="1" applyFont="1" applyBorder="1"/>
    <xf numFmtId="171" fontId="11" fillId="0" borderId="29" xfId="0" applyNumberFormat="1" applyFont="1" applyBorder="1"/>
    <xf numFmtId="165" fontId="1" fillId="0" borderId="0" xfId="0" applyNumberFormat="1" applyFont="1"/>
    <xf numFmtId="165" fontId="12" fillId="26" borderId="13" xfId="0" applyNumberFormat="1" applyFont="1" applyFill="1" applyBorder="1" applyAlignment="1">
      <alignment horizontal="center"/>
    </xf>
    <xf numFmtId="165" fontId="12" fillId="26" borderId="21" xfId="0" applyNumberFormat="1" applyFont="1" applyFill="1" applyBorder="1" applyAlignment="1">
      <alignment horizontal="center"/>
    </xf>
    <xf numFmtId="165" fontId="12" fillId="26" borderId="9" xfId="0" applyNumberFormat="1" applyFont="1" applyFill="1" applyBorder="1" applyAlignment="1">
      <alignment horizontal="center" wrapText="1"/>
    </xf>
    <xf numFmtId="165" fontId="12" fillId="26" borderId="14" xfId="0" applyNumberFormat="1" applyFont="1" applyFill="1" applyBorder="1" applyAlignment="1">
      <alignment horizontal="center" wrapText="1"/>
    </xf>
    <xf numFmtId="165" fontId="11" fillId="0" borderId="22" xfId="0" applyNumberFormat="1" applyFont="1" applyBorder="1"/>
    <xf numFmtId="165" fontId="11" fillId="0" borderId="23" xfId="0" applyNumberFormat="1" applyFont="1" applyBorder="1"/>
    <xf numFmtId="165" fontId="11" fillId="0" borderId="24" xfId="0" applyNumberFormat="1" applyFont="1" applyBorder="1" applyAlignment="1">
      <alignment horizontal="right"/>
    </xf>
    <xf numFmtId="165" fontId="11" fillId="0" borderId="24" xfId="0" applyNumberFormat="1" applyFont="1" applyBorder="1" applyAlignment="1">
      <alignment horizontal="center"/>
    </xf>
    <xf numFmtId="165" fontId="11" fillId="0" borderId="24" xfId="0" applyNumberFormat="1" applyFont="1" applyBorder="1"/>
    <xf numFmtId="165" fontId="11" fillId="0" borderId="25" xfId="0" applyNumberFormat="1" applyFont="1" applyBorder="1"/>
    <xf numFmtId="165" fontId="11" fillId="0" borderId="22" xfId="0" applyNumberFormat="1" applyFont="1" applyBorder="1" applyAlignment="1">
      <alignment horizontal="left"/>
    </xf>
    <xf numFmtId="165" fontId="11" fillId="0" borderId="23" xfId="0" applyNumberFormat="1" applyFont="1" applyBorder="1" applyAlignment="1">
      <alignment horizontal="left"/>
    </xf>
    <xf numFmtId="165" fontId="11" fillId="0" borderId="26" xfId="0" applyNumberFormat="1" applyFont="1" applyBorder="1"/>
    <xf numFmtId="165" fontId="11" fillId="0" borderId="27" xfId="0" applyNumberFormat="1" applyFont="1" applyBorder="1"/>
    <xf numFmtId="165" fontId="11" fillId="0" borderId="28" xfId="0" applyNumberFormat="1" applyFont="1" applyBorder="1" applyAlignment="1">
      <alignment horizontal="right"/>
    </xf>
    <xf numFmtId="165" fontId="11" fillId="0" borderId="28" xfId="0" applyNumberFormat="1" applyFont="1" applyBorder="1" applyAlignment="1">
      <alignment horizontal="center"/>
    </xf>
    <xf numFmtId="165" fontId="11" fillId="0" borderId="28" xfId="0" applyNumberFormat="1" applyFont="1" applyBorder="1"/>
    <xf numFmtId="165" fontId="11" fillId="0" borderId="29" xfId="0" applyNumberFormat="1" applyFont="1" applyBorder="1"/>
    <xf numFmtId="165" fontId="11" fillId="0" borderId="0" xfId="0" applyNumberFormat="1" applyFont="1"/>
    <xf numFmtId="165" fontId="11" fillId="0" borderId="0" xfId="0" applyNumberFormat="1" applyFont="1" applyAlignment="1">
      <alignment horizontal="right"/>
    </xf>
    <xf numFmtId="165" fontId="11" fillId="0" borderId="0" xfId="0" applyNumberFormat="1" applyFont="1" applyAlignment="1">
      <alignment horizontal="center"/>
    </xf>
    <xf numFmtId="49" fontId="13" fillId="0" borderId="1" xfId="0" applyNumberFormat="1" applyFont="1" applyBorder="1"/>
    <xf numFmtId="3" fontId="13" fillId="0" borderId="1" xfId="0" applyNumberFormat="1" applyFont="1" applyBorder="1" applyAlignment="1">
      <alignment horizontal="center"/>
    </xf>
    <xf numFmtId="170" fontId="13" fillId="0" borderId="1" xfId="1" applyNumberFormat="1" applyFont="1" applyBorder="1" applyAlignment="1">
      <alignment horizontal="center"/>
    </xf>
    <xf numFmtId="4" fontId="13" fillId="0" borderId="1" xfId="1" applyNumberFormat="1" applyFont="1" applyBorder="1" applyAlignment="1">
      <alignment horizontal="center"/>
    </xf>
    <xf numFmtId="4" fontId="13" fillId="11" borderId="1" xfId="0" applyNumberFormat="1" applyFont="1" applyFill="1" applyBorder="1"/>
    <xf numFmtId="4" fontId="13" fillId="12" borderId="1" xfId="0" applyNumberFormat="1" applyFont="1" applyFill="1" applyBorder="1"/>
    <xf numFmtId="4" fontId="13" fillId="13" borderId="1" xfId="0" applyNumberFormat="1" applyFont="1" applyFill="1" applyBorder="1"/>
    <xf numFmtId="4" fontId="13" fillId="0" borderId="1" xfId="0" applyNumberFormat="1" applyFont="1" applyBorder="1"/>
    <xf numFmtId="4" fontId="13" fillId="0" borderId="0" xfId="0" applyNumberFormat="1" applyFont="1"/>
    <xf numFmtId="49" fontId="13" fillId="0" borderId="0" xfId="0" applyNumberFormat="1" applyFont="1"/>
    <xf numFmtId="49" fontId="14" fillId="17" borderId="0" xfId="0" applyNumberFormat="1" applyFont="1" applyFill="1"/>
    <xf numFmtId="4" fontId="14" fillId="17" borderId="0" xfId="1" applyNumberFormat="1" applyFont="1" applyFill="1" applyBorder="1"/>
    <xf numFmtId="165" fontId="14" fillId="17" borderId="0" xfId="1" applyNumberFormat="1" applyFont="1" applyFill="1" applyBorder="1"/>
    <xf numFmtId="49" fontId="14" fillId="0" borderId="0" xfId="0" applyNumberFormat="1" applyFont="1"/>
    <xf numFmtId="3" fontId="14" fillId="0" borderId="0" xfId="0" applyNumberFormat="1" applyFont="1" applyAlignment="1">
      <alignment horizontal="center"/>
    </xf>
    <xf numFmtId="170" fontId="14" fillId="15" borderId="0" xfId="1" applyNumberFormat="1" applyFont="1" applyFill="1" applyAlignment="1">
      <alignment horizontal="center"/>
    </xf>
    <xf numFmtId="4" fontId="14" fillId="11" borderId="0" xfId="0" applyNumberFormat="1" applyFont="1" applyFill="1"/>
    <xf numFmtId="4" fontId="14" fillId="12" borderId="0" xfId="0" applyNumberFormat="1" applyFont="1" applyFill="1"/>
    <xf numFmtId="4" fontId="14" fillId="13" borderId="0" xfId="0" applyNumberFormat="1" applyFont="1" applyFill="1"/>
    <xf numFmtId="4" fontId="14" fillId="0" borderId="0" xfId="0" applyNumberFormat="1" applyFont="1"/>
    <xf numFmtId="49" fontId="14" fillId="14" borderId="1" xfId="0" applyNumberFormat="1" applyFont="1" applyFill="1" applyBorder="1"/>
    <xf numFmtId="165" fontId="14" fillId="14" borderId="1" xfId="1" applyNumberFormat="1" applyFont="1" applyFill="1" applyBorder="1"/>
    <xf numFmtId="49" fontId="14" fillId="0" borderId="1" xfId="0" applyNumberFormat="1" applyFont="1" applyBorder="1"/>
    <xf numFmtId="3" fontId="14" fillId="0" borderId="1" xfId="0" applyNumberFormat="1" applyFont="1" applyBorder="1" applyAlignment="1">
      <alignment horizontal="center"/>
    </xf>
    <xf numFmtId="170" fontId="14" fillId="15" borderId="1" xfId="1" applyNumberFormat="1" applyFont="1" applyFill="1" applyBorder="1" applyAlignment="1">
      <alignment horizontal="center"/>
    </xf>
    <xf numFmtId="4" fontId="14" fillId="9" borderId="1" xfId="1" applyNumberFormat="1" applyFont="1" applyFill="1" applyBorder="1" applyAlignment="1">
      <alignment horizontal="center"/>
    </xf>
    <xf numFmtId="4" fontId="14" fillId="11" borderId="1" xfId="0" applyNumberFormat="1" applyFont="1" applyFill="1" applyBorder="1"/>
    <xf numFmtId="4" fontId="14" fillId="12" borderId="1" xfId="0" applyNumberFormat="1" applyFont="1" applyFill="1" applyBorder="1"/>
    <xf numFmtId="4" fontId="14" fillId="13" borderId="1" xfId="0" applyNumberFormat="1" applyFont="1" applyFill="1" applyBorder="1"/>
    <xf numFmtId="4" fontId="14" fillId="0" borderId="1" xfId="0" applyNumberFormat="1" applyFont="1" applyBorder="1"/>
    <xf numFmtId="49" fontId="14" fillId="5" borderId="1" xfId="0" applyNumberFormat="1" applyFont="1" applyFill="1" applyBorder="1"/>
    <xf numFmtId="165" fontId="14" fillId="5" borderId="1" xfId="1" applyNumberFormat="1" applyFont="1" applyFill="1" applyBorder="1"/>
    <xf numFmtId="49" fontId="13" fillId="4" borderId="1" xfId="0" applyNumberFormat="1" applyFont="1" applyFill="1" applyBorder="1"/>
    <xf numFmtId="49" fontId="14" fillId="4" borderId="1" xfId="0" applyNumberFormat="1" applyFont="1" applyFill="1" applyBorder="1"/>
    <xf numFmtId="165" fontId="14" fillId="4" borderId="1" xfId="1" applyNumberFormat="1" applyFont="1" applyFill="1" applyBorder="1"/>
    <xf numFmtId="49" fontId="14" fillId="11" borderId="1" xfId="0" applyNumberFormat="1" applyFont="1" applyFill="1" applyBorder="1"/>
    <xf numFmtId="165" fontId="14" fillId="11" borderId="1" xfId="1" applyNumberFormat="1" applyFont="1" applyFill="1" applyBorder="1"/>
    <xf numFmtId="49" fontId="14" fillId="16" borderId="1" xfId="0" applyNumberFormat="1" applyFont="1" applyFill="1" applyBorder="1"/>
    <xf numFmtId="165" fontId="14" fillId="16" borderId="1" xfId="1" applyNumberFormat="1" applyFont="1" applyFill="1" applyBorder="1"/>
    <xf numFmtId="49" fontId="14" fillId="10" borderId="1" xfId="0" applyNumberFormat="1" applyFont="1" applyFill="1" applyBorder="1"/>
    <xf numFmtId="165" fontId="14" fillId="10" borderId="1" xfId="1" applyNumberFormat="1" applyFont="1" applyFill="1" applyBorder="1"/>
    <xf numFmtId="49" fontId="14" fillId="18" borderId="1" xfId="0" applyNumberFormat="1" applyFont="1" applyFill="1" applyBorder="1"/>
    <xf numFmtId="165" fontId="14" fillId="18" borderId="1" xfId="1" applyNumberFormat="1" applyFont="1" applyFill="1" applyBorder="1"/>
    <xf numFmtId="49" fontId="14" fillId="9" borderId="1" xfId="0" applyNumberFormat="1" applyFont="1" applyFill="1" applyBorder="1"/>
    <xf numFmtId="165" fontId="14" fillId="9" borderId="1" xfId="1" applyNumberFormat="1" applyFont="1" applyFill="1" applyBorder="1"/>
    <xf numFmtId="49" fontId="14" fillId="19" borderId="1" xfId="0" applyNumberFormat="1" applyFont="1" applyFill="1" applyBorder="1"/>
    <xf numFmtId="165" fontId="14" fillId="19" borderId="1" xfId="1" applyNumberFormat="1" applyFont="1" applyFill="1" applyBorder="1"/>
    <xf numFmtId="49" fontId="14" fillId="23" borderId="1" xfId="0" applyNumberFormat="1" applyFont="1" applyFill="1" applyBorder="1"/>
    <xf numFmtId="165" fontId="14" fillId="23" borderId="1" xfId="1" applyNumberFormat="1" applyFont="1" applyFill="1" applyBorder="1"/>
    <xf numFmtId="49" fontId="14" fillId="21" borderId="1" xfId="0" applyNumberFormat="1" applyFont="1" applyFill="1" applyBorder="1"/>
    <xf numFmtId="165" fontId="14" fillId="21" borderId="1" xfId="1" applyNumberFormat="1" applyFont="1" applyFill="1" applyBorder="1"/>
    <xf numFmtId="49" fontId="14" fillId="24" borderId="1" xfId="0" applyNumberFormat="1" applyFont="1" applyFill="1" applyBorder="1"/>
    <xf numFmtId="165" fontId="14" fillId="24" borderId="1" xfId="1" applyNumberFormat="1" applyFont="1" applyFill="1" applyBorder="1"/>
    <xf numFmtId="49" fontId="14" fillId="7" borderId="1" xfId="0" applyNumberFormat="1" applyFont="1" applyFill="1" applyBorder="1"/>
    <xf numFmtId="165" fontId="14" fillId="7" borderId="1" xfId="1" applyNumberFormat="1" applyFont="1" applyFill="1" applyBorder="1"/>
    <xf numFmtId="49" fontId="14" fillId="22" borderId="1" xfId="0" applyNumberFormat="1" applyFont="1" applyFill="1" applyBorder="1"/>
    <xf numFmtId="165" fontId="14" fillId="22" borderId="1" xfId="1" applyNumberFormat="1" applyFont="1" applyFill="1" applyBorder="1"/>
    <xf numFmtId="49" fontId="14" fillId="8" borderId="1" xfId="0" applyNumberFormat="1" applyFont="1" applyFill="1" applyBorder="1"/>
    <xf numFmtId="165" fontId="14" fillId="8" borderId="1" xfId="1" applyNumberFormat="1" applyFont="1" applyFill="1" applyBorder="1"/>
    <xf numFmtId="49" fontId="14" fillId="13" borderId="1" xfId="0" applyNumberFormat="1" applyFont="1" applyFill="1" applyBorder="1"/>
    <xf numFmtId="165" fontId="14" fillId="13" borderId="1" xfId="1" applyNumberFormat="1" applyFont="1" applyFill="1" applyBorder="1"/>
    <xf numFmtId="49" fontId="14" fillId="6" borderId="1" xfId="0" applyNumberFormat="1" applyFont="1" applyFill="1" applyBorder="1"/>
    <xf numFmtId="165" fontId="14" fillId="6" borderId="1" xfId="1" applyNumberFormat="1" applyFont="1" applyFill="1" applyBorder="1"/>
    <xf numFmtId="165" fontId="14" fillId="0" borderId="0" xfId="1" applyNumberFormat="1" applyFont="1" applyFill="1"/>
    <xf numFmtId="170" fontId="14" fillId="0" borderId="0" xfId="1" applyNumberFormat="1" applyFont="1" applyFill="1" applyAlignment="1">
      <alignment horizontal="center"/>
    </xf>
    <xf numFmtId="4" fontId="14" fillId="0" borderId="0" xfId="1" applyNumberFormat="1" applyFont="1" applyFill="1" applyAlignment="1">
      <alignment horizontal="center"/>
    </xf>
    <xf numFmtId="165" fontId="14" fillId="0" borderId="0" xfId="1" applyNumberFormat="1" applyFont="1"/>
    <xf numFmtId="170" fontId="14" fillId="0" borderId="0" xfId="1" applyNumberFormat="1" applyFont="1" applyAlignment="1">
      <alignment horizontal="center"/>
    </xf>
    <xf numFmtId="4" fontId="14" fillId="0" borderId="0" xfId="1" applyNumberFormat="1" applyFont="1" applyAlignment="1">
      <alignment horizontal="center"/>
    </xf>
    <xf numFmtId="49" fontId="14" fillId="20" borderId="10" xfId="0" applyNumberFormat="1" applyFont="1" applyFill="1" applyBorder="1"/>
    <xf numFmtId="165" fontId="14" fillId="20" borderId="10" xfId="1" applyNumberFormat="1" applyFont="1" applyFill="1" applyBorder="1"/>
    <xf numFmtId="49" fontId="14" fillId="0" borderId="10" xfId="0" applyNumberFormat="1" applyFont="1" applyBorder="1"/>
    <xf numFmtId="49" fontId="14" fillId="0" borderId="19" xfId="0" applyNumberFormat="1" applyFont="1" applyBorder="1"/>
    <xf numFmtId="165" fontId="14" fillId="0" borderId="19" xfId="1" applyNumberFormat="1" applyFont="1" applyFill="1" applyBorder="1"/>
    <xf numFmtId="4" fontId="14" fillId="25" borderId="0" xfId="1" applyNumberFormat="1" applyFont="1" applyFill="1" applyAlignment="1">
      <alignment horizontal="center"/>
    </xf>
    <xf numFmtId="164" fontId="15" fillId="0" borderId="0" xfId="1" applyFont="1" applyBorder="1" applyAlignment="1">
      <alignment horizontal="center"/>
    </xf>
    <xf numFmtId="164" fontId="3" fillId="3" borderId="9" xfId="1" applyFont="1" applyFill="1" applyBorder="1" applyAlignment="1">
      <alignment horizontal="center"/>
    </xf>
    <xf numFmtId="0" fontId="3" fillId="0" borderId="17" xfId="0" applyFont="1" applyBorder="1"/>
    <xf numFmtId="0" fontId="3" fillId="0" borderId="11" xfId="0" applyFont="1" applyBorder="1"/>
    <xf numFmtId="49" fontId="17" fillId="0" borderId="19" xfId="0" applyNumberFormat="1" applyFont="1" applyBorder="1"/>
    <xf numFmtId="0" fontId="3" fillId="17" borderId="17" xfId="0" applyFont="1" applyFill="1" applyBorder="1"/>
    <xf numFmtId="4" fontId="17" fillId="0" borderId="1" xfId="0" applyNumberFormat="1" applyFont="1" applyBorder="1"/>
    <xf numFmtId="4" fontId="17" fillId="27" borderId="1" xfId="0" applyNumberFormat="1" applyFont="1" applyFill="1" applyBorder="1"/>
    <xf numFmtId="4" fontId="3" fillId="0" borderId="1" xfId="0" applyNumberFormat="1" applyFont="1" applyBorder="1"/>
    <xf numFmtId="4" fontId="18" fillId="0" borderId="0" xfId="0" applyNumberFormat="1" applyFont="1"/>
    <xf numFmtId="4" fontId="3" fillId="27" borderId="1" xfId="0" applyNumberFormat="1" applyFont="1" applyFill="1" applyBorder="1"/>
    <xf numFmtId="4" fontId="17" fillId="0" borderId="0" xfId="0" applyNumberFormat="1" applyFont="1"/>
    <xf numFmtId="0" fontId="19" fillId="0" borderId="30" xfId="0" applyFont="1" applyBorder="1" applyAlignment="1">
      <alignment horizontal="left"/>
    </xf>
    <xf numFmtId="49" fontId="18" fillId="0" borderId="1" xfId="0" applyNumberFormat="1" applyFont="1" applyBorder="1"/>
    <xf numFmtId="49" fontId="17" fillId="23" borderId="1" xfId="0" applyNumberFormat="1" applyFont="1" applyFill="1" applyBorder="1"/>
    <xf numFmtId="49" fontId="17" fillId="21" borderId="1" xfId="0" applyNumberFormat="1" applyFont="1" applyFill="1" applyBorder="1"/>
    <xf numFmtId="49" fontId="17" fillId="7" borderId="1" xfId="0" applyNumberFormat="1" applyFont="1" applyFill="1" applyBorder="1"/>
    <xf numFmtId="49" fontId="17" fillId="13" borderId="1" xfId="0" applyNumberFormat="1" applyFont="1" applyFill="1" applyBorder="1"/>
    <xf numFmtId="49" fontId="17" fillId="6" borderId="1" xfId="0" applyNumberFormat="1" applyFont="1" applyFill="1" applyBorder="1"/>
    <xf numFmtId="49" fontId="17" fillId="20" borderId="10" xfId="0" applyNumberFormat="1" applyFont="1" applyFill="1" applyBorder="1"/>
    <xf numFmtId="49" fontId="17" fillId="0" borderId="0" xfId="0" applyNumberFormat="1" applyFont="1"/>
    <xf numFmtId="49" fontId="18" fillId="25" borderId="0" xfId="0" applyNumberFormat="1" applyFont="1" applyFill="1"/>
    <xf numFmtId="49" fontId="18" fillId="25" borderId="1" xfId="0" applyNumberFormat="1" applyFont="1" applyFill="1" applyBorder="1"/>
    <xf numFmtId="49" fontId="20" fillId="0" borderId="1" xfId="0" applyNumberFormat="1" applyFont="1" applyBorder="1"/>
    <xf numFmtId="49" fontId="20" fillId="25" borderId="1" xfId="0" applyNumberFormat="1" applyFont="1" applyFill="1" applyBorder="1"/>
    <xf numFmtId="49" fontId="21" fillId="25" borderId="1" xfId="0" applyNumberFormat="1" applyFont="1" applyFill="1" applyBorder="1"/>
    <xf numFmtId="49" fontId="20" fillId="19" borderId="1" xfId="0" applyNumberFormat="1" applyFont="1" applyFill="1" applyBorder="1"/>
    <xf numFmtId="49" fontId="20" fillId="7" borderId="1" xfId="0" applyNumberFormat="1" applyFont="1" applyFill="1" applyBorder="1"/>
    <xf numFmtId="49" fontId="18" fillId="0" borderId="10" xfId="0" applyNumberFormat="1" applyFont="1" applyBorder="1"/>
    <xf numFmtId="49" fontId="20" fillId="0" borderId="19" xfId="0" applyNumberFormat="1" applyFont="1" applyBorder="1"/>
    <xf numFmtId="49" fontId="20" fillId="25" borderId="19" xfId="0" applyNumberFormat="1" applyFont="1" applyFill="1" applyBorder="1"/>
    <xf numFmtId="49" fontId="20" fillId="0" borderId="0" xfId="0" applyNumberFormat="1" applyFont="1"/>
    <xf numFmtId="0" fontId="3" fillId="24" borderId="1" xfId="0" applyFont="1" applyFill="1" applyBorder="1" applyAlignment="1">
      <alignment horizontal="left"/>
    </xf>
    <xf numFmtId="168" fontId="3" fillId="24" borderId="1" xfId="0" applyNumberFormat="1" applyFont="1" applyFill="1" applyBorder="1" applyAlignment="1">
      <alignment horizontal="left"/>
    </xf>
    <xf numFmtId="0" fontId="3" fillId="24" borderId="1" xfId="0" applyFont="1" applyFill="1" applyBorder="1" applyAlignment="1">
      <alignment horizontal="left" vertical="center" wrapText="1" shrinkToFit="1"/>
    </xf>
    <xf numFmtId="0" fontId="3" fillId="24" borderId="1" xfId="0" applyFont="1" applyFill="1" applyBorder="1" applyAlignment="1">
      <alignment horizontal="left" vertical="center"/>
    </xf>
    <xf numFmtId="164" fontId="3" fillId="24" borderId="1" xfId="1" applyFont="1" applyFill="1" applyBorder="1" applyAlignment="1">
      <alignment horizontal="left"/>
    </xf>
    <xf numFmtId="0" fontId="2" fillId="24" borderId="11" xfId="0" applyFont="1" applyFill="1" applyBorder="1"/>
    <xf numFmtId="0" fontId="2" fillId="24" borderId="12" xfId="0" applyFont="1" applyFill="1" applyBorder="1" applyAlignment="1">
      <alignment horizontal="center"/>
    </xf>
    <xf numFmtId="0" fontId="4" fillId="24" borderId="1" xfId="0" applyFont="1" applyFill="1" applyBorder="1"/>
    <xf numFmtId="0" fontId="4" fillId="24" borderId="1" xfId="0" applyFont="1" applyFill="1" applyBorder="1" applyAlignment="1">
      <alignment horizontal="center"/>
    </xf>
    <xf numFmtId="168" fontId="4" fillId="24" borderId="1" xfId="0" applyNumberFormat="1" applyFont="1" applyFill="1" applyBorder="1" applyAlignment="1">
      <alignment horizontal="center"/>
    </xf>
    <xf numFmtId="0" fontId="4" fillId="24" borderId="1" xfId="0" applyFont="1" applyFill="1" applyBorder="1" applyAlignment="1">
      <alignment wrapText="1"/>
    </xf>
    <xf numFmtId="0" fontId="4" fillId="24" borderId="1" xfId="0" applyFont="1" applyFill="1" applyBorder="1" applyAlignment="1">
      <alignment vertical="center" wrapText="1"/>
    </xf>
    <xf numFmtId="0" fontId="4" fillId="24" borderId="1" xfId="0" applyFont="1" applyFill="1" applyBorder="1" applyAlignment="1">
      <alignment vertical="center"/>
    </xf>
    <xf numFmtId="164" fontId="4" fillId="24" borderId="1" xfId="1" applyFont="1" applyFill="1" applyBorder="1"/>
    <xf numFmtId="164" fontId="4" fillId="24" borderId="1" xfId="1" applyFont="1" applyFill="1" applyBorder="1" applyAlignment="1">
      <alignment horizontal="center"/>
    </xf>
    <xf numFmtId="0" fontId="3" fillId="24" borderId="1" xfId="0" applyFont="1" applyFill="1" applyBorder="1"/>
    <xf numFmtId="0" fontId="3" fillId="24" borderId="1" xfId="0" applyFont="1" applyFill="1" applyBorder="1" applyAlignment="1">
      <alignment horizontal="center"/>
    </xf>
    <xf numFmtId="168" fontId="3" fillId="24" borderId="1" xfId="0" applyNumberFormat="1" applyFont="1" applyFill="1" applyBorder="1" applyAlignment="1">
      <alignment horizontal="center"/>
    </xf>
    <xf numFmtId="0" fontId="3" fillId="24" borderId="1" xfId="0" applyFont="1" applyFill="1" applyBorder="1" applyAlignment="1">
      <alignment wrapText="1"/>
    </xf>
    <xf numFmtId="0" fontId="3" fillId="24" borderId="1" xfId="0" applyFont="1" applyFill="1" applyBorder="1" applyAlignment="1">
      <alignment vertical="center" wrapText="1"/>
    </xf>
    <xf numFmtId="0" fontId="3" fillId="24" borderId="1" xfId="0" applyFont="1" applyFill="1" applyBorder="1" applyAlignment="1">
      <alignment vertical="center"/>
    </xf>
    <xf numFmtId="164" fontId="3" fillId="24" borderId="1" xfId="1" applyFont="1" applyFill="1" applyBorder="1"/>
    <xf numFmtId="164" fontId="3" fillId="24" borderId="1" xfId="1" applyFont="1" applyFill="1" applyBorder="1" applyAlignment="1">
      <alignment horizontal="center"/>
    </xf>
    <xf numFmtId="0" fontId="10" fillId="24" borderId="1" xfId="0" applyFont="1" applyFill="1" applyBorder="1"/>
    <xf numFmtId="0" fontId="10" fillId="24" borderId="1" xfId="0" applyFont="1" applyFill="1" applyBorder="1" applyAlignment="1">
      <alignment horizontal="center"/>
    </xf>
    <xf numFmtId="168" fontId="10" fillId="24" borderId="1" xfId="0" applyNumberFormat="1" applyFont="1" applyFill="1" applyBorder="1" applyAlignment="1">
      <alignment horizontal="center"/>
    </xf>
    <xf numFmtId="0" fontId="10" fillId="24" borderId="1" xfId="0" applyFont="1" applyFill="1" applyBorder="1" applyAlignment="1">
      <alignment wrapText="1"/>
    </xf>
    <xf numFmtId="0" fontId="10" fillId="24" borderId="1" xfId="0" applyFont="1" applyFill="1" applyBorder="1" applyAlignment="1">
      <alignment vertical="center" wrapText="1"/>
    </xf>
    <xf numFmtId="0" fontId="10" fillId="24" borderId="1" xfId="0" applyFont="1" applyFill="1" applyBorder="1" applyAlignment="1">
      <alignment vertical="center"/>
    </xf>
    <xf numFmtId="164" fontId="10" fillId="24" borderId="1" xfId="1" applyFont="1" applyFill="1" applyBorder="1"/>
    <xf numFmtId="164" fontId="10" fillId="24" borderId="10" xfId="1" applyFont="1" applyFill="1" applyBorder="1" applyAlignment="1">
      <alignment horizontal="center"/>
    </xf>
    <xf numFmtId="0" fontId="23" fillId="0" borderId="0" xfId="0" applyFont="1"/>
    <xf numFmtId="164" fontId="4" fillId="0" borderId="9" xfId="1" applyFont="1" applyBorder="1" applyAlignment="1">
      <alignment horizontal="center"/>
    </xf>
    <xf numFmtId="164" fontId="4" fillId="3" borderId="15" xfId="1" applyFont="1" applyFill="1" applyBorder="1" applyAlignment="1">
      <alignment horizontal="center"/>
    </xf>
    <xf numFmtId="164" fontId="4" fillId="3" borderId="0" xfId="1" quotePrefix="1" applyFont="1" applyFill="1" applyBorder="1" applyAlignment="1">
      <alignment horizontal="center"/>
    </xf>
    <xf numFmtId="0" fontId="21" fillId="0" borderId="1" xfId="0" applyFont="1" applyBorder="1" applyAlignment="1">
      <alignment horizontal="left"/>
    </xf>
    <xf numFmtId="0" fontId="21" fillId="15" borderId="1" xfId="0" applyFont="1" applyFill="1" applyBorder="1" applyAlignment="1">
      <alignment horizontal="left"/>
    </xf>
    <xf numFmtId="0" fontId="21" fillId="15" borderId="1" xfId="0" applyFont="1" applyFill="1" applyBorder="1"/>
    <xf numFmtId="0" fontId="21" fillId="0" borderId="1" xfId="0" applyFont="1" applyBorder="1"/>
    <xf numFmtId="4" fontId="20" fillId="0" borderId="0" xfId="0" applyNumberFormat="1" applyFont="1"/>
    <xf numFmtId="0" fontId="25" fillId="0" borderId="0" xfId="2" applyFont="1" applyAlignment="1" applyProtection="1"/>
    <xf numFmtId="0" fontId="4" fillId="29" borderId="31" xfId="0" applyFont="1" applyFill="1" applyBorder="1" applyAlignment="1">
      <alignment horizontal="left"/>
    </xf>
    <xf numFmtId="0" fontId="4" fillId="29" borderId="32" xfId="0" applyFont="1" applyFill="1" applyBorder="1" applyAlignment="1">
      <alignment horizontal="left"/>
    </xf>
    <xf numFmtId="0" fontId="4" fillId="29" borderId="32" xfId="0" applyFont="1" applyFill="1" applyBorder="1" applyAlignment="1">
      <alignment horizontal="center"/>
    </xf>
    <xf numFmtId="0" fontId="4" fillId="29" borderId="33" xfId="0" applyFont="1" applyFill="1" applyBorder="1" applyAlignment="1">
      <alignment horizontal="left"/>
    </xf>
    <xf numFmtId="0" fontId="3" fillId="0" borderId="34" xfId="0" applyFont="1" applyBorder="1"/>
    <xf numFmtId="0" fontId="3" fillId="0" borderId="35" xfId="0" applyFont="1" applyBorder="1"/>
    <xf numFmtId="0" fontId="3" fillId="0" borderId="35" xfId="0" applyFont="1" applyBorder="1" applyAlignment="1">
      <alignment horizontal="center"/>
    </xf>
    <xf numFmtId="0" fontId="26" fillId="15" borderId="35" xfId="0" applyFont="1" applyFill="1" applyBorder="1" applyAlignment="1">
      <alignment horizontal="center"/>
    </xf>
    <xf numFmtId="0" fontId="3" fillId="0" borderId="35" xfId="0" quotePrefix="1" applyFont="1" applyBorder="1"/>
    <xf numFmtId="0" fontId="3" fillId="0" borderId="36" xfId="0" applyFont="1" applyBorder="1"/>
    <xf numFmtId="0" fontId="3" fillId="0" borderId="37" xfId="0" applyFont="1" applyBorder="1"/>
    <xf numFmtId="0" fontId="26" fillId="15" borderId="1" xfId="0" applyFont="1" applyFill="1" applyBorder="1" applyAlignment="1">
      <alignment horizontal="center"/>
    </xf>
    <xf numFmtId="0" fontId="3" fillId="0" borderId="38" xfId="0" applyFont="1" applyBorder="1"/>
    <xf numFmtId="0" fontId="3" fillId="30" borderId="1" xfId="0" applyFont="1" applyFill="1" applyBorder="1" applyAlignment="1">
      <alignment horizontal="center"/>
    </xf>
    <xf numFmtId="0" fontId="3" fillId="31" borderId="1" xfId="0" applyFont="1" applyFill="1" applyBorder="1" applyAlignment="1">
      <alignment horizontal="center"/>
    </xf>
    <xf numFmtId="0" fontId="3" fillId="28" borderId="1" xfId="0" applyFont="1" applyFill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0" fontId="3" fillId="22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0" borderId="26" xfId="0" applyFont="1" applyBorder="1"/>
    <xf numFmtId="0" fontId="3" fillId="0" borderId="28" xfId="0" applyFont="1" applyBorder="1"/>
    <xf numFmtId="0" fontId="3" fillId="7" borderId="28" xfId="0" applyFont="1" applyFill="1" applyBorder="1" applyAlignment="1">
      <alignment horizontal="center"/>
    </xf>
    <xf numFmtId="0" fontId="3" fillId="31" borderId="28" xfId="0" applyFont="1" applyFill="1" applyBorder="1" applyAlignment="1">
      <alignment horizontal="center"/>
    </xf>
    <xf numFmtId="0" fontId="3" fillId="0" borderId="28" xfId="0" quotePrefix="1" applyFont="1" applyBorder="1" applyAlignment="1">
      <alignment horizontal="center"/>
    </xf>
    <xf numFmtId="0" fontId="3" fillId="0" borderId="29" xfId="0" applyFont="1" applyBorder="1"/>
    <xf numFmtId="4" fontId="21" fillId="5" borderId="1" xfId="0" quotePrefix="1" applyNumberFormat="1" applyFont="1" applyFill="1" applyBorder="1"/>
    <xf numFmtId="164" fontId="4" fillId="0" borderId="1" xfId="1" applyFont="1" applyFill="1" applyBorder="1" applyAlignment="1">
      <alignment horizontal="center"/>
    </xf>
    <xf numFmtId="164" fontId="3" fillId="3" borderId="8" xfId="1" applyFont="1" applyFill="1" applyBorder="1"/>
    <xf numFmtId="0" fontId="27" fillId="0" borderId="0" xfId="0" applyFont="1"/>
    <xf numFmtId="0" fontId="28" fillId="0" borderId="0" xfId="0" applyFont="1"/>
    <xf numFmtId="164" fontId="28" fillId="0" borderId="0" xfId="1" applyFont="1"/>
    <xf numFmtId="0" fontId="27" fillId="0" borderId="0" xfId="0" applyFont="1" applyAlignment="1">
      <alignment horizontal="center"/>
    </xf>
    <xf numFmtId="164" fontId="27" fillId="0" borderId="0" xfId="1" applyFont="1"/>
    <xf numFmtId="164" fontId="27" fillId="0" borderId="0" xfId="1" applyFont="1" applyBorder="1"/>
    <xf numFmtId="168" fontId="3" fillId="32" borderId="0" xfId="0" applyNumberFormat="1" applyFont="1" applyFill="1" applyAlignment="1">
      <alignment horizontal="center"/>
    </xf>
    <xf numFmtId="0" fontId="28" fillId="0" borderId="0" xfId="0" applyFont="1" applyAlignment="1">
      <alignment horizontal="center"/>
    </xf>
    <xf numFmtId="165" fontId="29" fillId="0" borderId="0" xfId="1" applyNumberFormat="1" applyFont="1" applyFill="1" applyBorder="1" applyAlignment="1">
      <alignment horizontal="center"/>
    </xf>
    <xf numFmtId="165" fontId="27" fillId="0" borderId="0" xfId="1" applyNumberFormat="1" applyFont="1" applyFill="1" applyBorder="1" applyAlignment="1">
      <alignment horizontal="center"/>
    </xf>
    <xf numFmtId="164" fontId="3" fillId="0" borderId="19" xfId="1" applyFont="1" applyBorder="1"/>
    <xf numFmtId="0" fontId="30" fillId="0" borderId="0" xfId="0" applyFont="1"/>
    <xf numFmtId="0" fontId="31" fillId="0" borderId="0" xfId="0" applyFont="1"/>
    <xf numFmtId="0" fontId="32" fillId="0" borderId="0" xfId="0" applyFont="1"/>
    <xf numFmtId="0" fontId="32" fillId="0" borderId="1" xfId="0" applyFont="1" applyBorder="1"/>
    <xf numFmtId="168" fontId="31" fillId="0" borderId="1" xfId="0" applyNumberFormat="1" applyFont="1" applyBorder="1"/>
    <xf numFmtId="0" fontId="32" fillId="2" borderId="1" xfId="0" applyFont="1" applyFill="1" applyBorder="1" applyAlignment="1">
      <alignment horizontal="center"/>
    </xf>
    <xf numFmtId="168" fontId="31" fillId="2" borderId="1" xfId="0" applyNumberFormat="1" applyFont="1" applyFill="1" applyBorder="1" applyAlignment="1">
      <alignment horizontal="center"/>
    </xf>
    <xf numFmtId="168" fontId="31" fillId="0" borderId="0" xfId="0" applyNumberFormat="1" applyFont="1" applyAlignment="1">
      <alignment horizontal="center"/>
    </xf>
    <xf numFmtId="0" fontId="31" fillId="0" borderId="0" xfId="0" applyFont="1" applyAlignment="1">
      <alignment horizontal="center"/>
    </xf>
    <xf numFmtId="0" fontId="32" fillId="2" borderId="1" xfId="0" applyFont="1" applyFill="1" applyBorder="1"/>
    <xf numFmtId="164" fontId="31" fillId="2" borderId="1" xfId="1" applyFont="1" applyFill="1" applyBorder="1"/>
    <xf numFmtId="164" fontId="31" fillId="0" borderId="0" xfId="1" applyFont="1" applyFill="1" applyBorder="1"/>
    <xf numFmtId="168" fontId="31" fillId="0" borderId="0" xfId="0" applyNumberFormat="1" applyFont="1"/>
    <xf numFmtId="164" fontId="31" fillId="0" borderId="0" xfId="1" applyFont="1"/>
    <xf numFmtId="169" fontId="31" fillId="0" borderId="0" xfId="1" applyNumberFormat="1" applyFont="1" applyAlignment="1">
      <alignment horizontal="center"/>
    </xf>
    <xf numFmtId="169" fontId="31" fillId="0" borderId="0" xfId="1" applyNumberFormat="1" applyFont="1" applyFill="1" applyBorder="1" applyAlignment="1">
      <alignment horizontal="center"/>
    </xf>
    <xf numFmtId="49" fontId="31" fillId="0" borderId="0" xfId="0" applyNumberFormat="1" applyFont="1" applyAlignment="1">
      <alignment horizontal="center"/>
    </xf>
    <xf numFmtId="164" fontId="34" fillId="0" borderId="0" xfId="1" applyFont="1"/>
    <xf numFmtId="164" fontId="34" fillId="0" borderId="0" xfId="1" applyFont="1" applyFill="1" applyBorder="1"/>
    <xf numFmtId="0" fontId="36" fillId="0" borderId="0" xfId="0" applyFont="1" applyAlignment="1">
      <alignment horizontal="center"/>
    </xf>
    <xf numFmtId="0" fontId="36" fillId="0" borderId="0" xfId="0" applyFont="1"/>
    <xf numFmtId="168" fontId="32" fillId="0" borderId="10" xfId="0" applyNumberFormat="1" applyFont="1" applyBorder="1"/>
    <xf numFmtId="168" fontId="31" fillId="0" borderId="10" xfId="0" applyNumberFormat="1" applyFont="1" applyBorder="1" applyAlignment="1">
      <alignment horizontal="center"/>
    </xf>
    <xf numFmtId="49" fontId="32" fillId="0" borderId="34" xfId="0" applyNumberFormat="1" applyFont="1" applyBorder="1" applyAlignment="1">
      <alignment horizontal="right"/>
    </xf>
    <xf numFmtId="164" fontId="31" fillId="0" borderId="36" xfId="1" applyFont="1" applyFill="1" applyBorder="1"/>
    <xf numFmtId="49" fontId="32" fillId="0" borderId="37" xfId="0" applyNumberFormat="1" applyFont="1" applyBorder="1" applyAlignment="1">
      <alignment horizontal="right"/>
    </xf>
    <xf numFmtId="164" fontId="31" fillId="0" borderId="38" xfId="1" applyFont="1" applyFill="1" applyBorder="1" applyAlignment="1">
      <alignment horizontal="center"/>
    </xf>
    <xf numFmtId="164" fontId="31" fillId="0" borderId="38" xfId="1" applyFont="1" applyFill="1" applyBorder="1"/>
    <xf numFmtId="49" fontId="32" fillId="0" borderId="4" xfId="0" applyNumberFormat="1" applyFont="1" applyBorder="1" applyAlignment="1">
      <alignment horizontal="right"/>
    </xf>
    <xf numFmtId="164" fontId="31" fillId="0" borderId="5" xfId="1" applyFont="1" applyFill="1" applyBorder="1"/>
    <xf numFmtId="49" fontId="30" fillId="0" borderId="37" xfId="0" applyNumberFormat="1" applyFont="1" applyBorder="1" applyAlignment="1">
      <alignment horizontal="right"/>
    </xf>
    <xf numFmtId="164" fontId="30" fillId="0" borderId="38" xfId="1" applyFont="1" applyFill="1" applyBorder="1"/>
    <xf numFmtId="49" fontId="32" fillId="0" borderId="37" xfId="1" applyNumberFormat="1" applyFont="1" applyFill="1" applyBorder="1" applyAlignment="1">
      <alignment horizontal="right"/>
    </xf>
    <xf numFmtId="164" fontId="31" fillId="0" borderId="5" xfId="1" applyFont="1" applyFill="1" applyBorder="1" applyAlignment="1">
      <alignment horizontal="center"/>
    </xf>
    <xf numFmtId="49" fontId="32" fillId="0" borderId="37" xfId="1" quotePrefix="1" applyNumberFormat="1" applyFont="1" applyFill="1" applyBorder="1" applyAlignment="1">
      <alignment horizontal="right"/>
    </xf>
    <xf numFmtId="49" fontId="32" fillId="0" borderId="4" xfId="1" quotePrefix="1" applyNumberFormat="1" applyFont="1" applyFill="1" applyBorder="1" applyAlignment="1">
      <alignment horizontal="right"/>
    </xf>
    <xf numFmtId="49" fontId="32" fillId="0" borderId="37" xfId="0" quotePrefix="1" applyNumberFormat="1" applyFont="1" applyBorder="1" applyAlignment="1">
      <alignment horizontal="right"/>
    </xf>
    <xf numFmtId="49" fontId="33" fillId="0" borderId="37" xfId="1" applyNumberFormat="1" applyFont="1" applyFill="1" applyBorder="1" applyAlignment="1">
      <alignment horizontal="right"/>
    </xf>
    <xf numFmtId="164" fontId="34" fillId="0" borderId="38" xfId="1" applyFont="1" applyFill="1" applyBorder="1"/>
    <xf numFmtId="49" fontId="35" fillId="0" borderId="37" xfId="0" applyNumberFormat="1" applyFont="1" applyBorder="1" applyAlignment="1">
      <alignment horizontal="right"/>
    </xf>
    <xf numFmtId="164" fontId="36" fillId="0" borderId="38" xfId="1" applyFont="1" applyFill="1" applyBorder="1" applyAlignment="1">
      <alignment horizontal="center"/>
    </xf>
    <xf numFmtId="49" fontId="32" fillId="0" borderId="26" xfId="0" applyNumberFormat="1" applyFont="1" applyBorder="1" applyAlignment="1">
      <alignment horizontal="right"/>
    </xf>
    <xf numFmtId="164" fontId="31" fillId="0" borderId="29" xfId="1" applyFont="1" applyFill="1" applyBorder="1"/>
    <xf numFmtId="0" fontId="32" fillId="0" borderId="2" xfId="0" applyFont="1" applyBorder="1"/>
    <xf numFmtId="164" fontId="32" fillId="0" borderId="3" xfId="1" applyFont="1" applyFill="1" applyBorder="1"/>
    <xf numFmtId="0" fontId="32" fillId="0" borderId="4" xfId="0" applyFont="1" applyBorder="1"/>
    <xf numFmtId="164" fontId="32" fillId="0" borderId="5" xfId="1" applyFont="1" applyFill="1" applyBorder="1"/>
    <xf numFmtId="0" fontId="32" fillId="0" borderId="6" xfId="0" applyFont="1" applyBorder="1"/>
    <xf numFmtId="164" fontId="32" fillId="0" borderId="7" xfId="1" applyFont="1" applyFill="1" applyBorder="1"/>
    <xf numFmtId="0" fontId="4" fillId="0" borderId="40" xfId="0" applyFont="1" applyBorder="1"/>
    <xf numFmtId="0" fontId="4" fillId="0" borderId="41" xfId="0" applyFont="1" applyBorder="1" applyAlignment="1">
      <alignment horizontal="center"/>
    </xf>
    <xf numFmtId="168" fontId="4" fillId="0" borderId="41" xfId="0" applyNumberFormat="1" applyFont="1" applyBorder="1" applyAlignment="1">
      <alignment horizontal="center"/>
    </xf>
    <xf numFmtId="164" fontId="4" fillId="0" borderId="41" xfId="1" applyFont="1" applyBorder="1" applyAlignment="1">
      <alignment horizontal="center"/>
    </xf>
    <xf numFmtId="164" fontId="4" fillId="0" borderId="41" xfId="1" applyFont="1" applyBorder="1"/>
    <xf numFmtId="164" fontId="3" fillId="25" borderId="1" xfId="1" applyFont="1" applyFill="1" applyBorder="1"/>
    <xf numFmtId="164" fontId="4" fillId="25" borderId="1" xfId="1" applyFont="1" applyFill="1" applyBorder="1"/>
    <xf numFmtId="0" fontId="37" fillId="0" borderId="0" xfId="0" applyFont="1"/>
    <xf numFmtId="0" fontId="38" fillId="0" borderId="0" xfId="0" applyFont="1"/>
    <xf numFmtId="0" fontId="39" fillId="5" borderId="1" xfId="0" applyFont="1" applyFill="1" applyBorder="1"/>
    <xf numFmtId="0" fontId="39" fillId="0" borderId="0" xfId="0" applyFont="1"/>
    <xf numFmtId="164" fontId="38" fillId="0" borderId="1" xfId="1" applyFont="1" applyBorder="1" applyAlignment="1"/>
    <xf numFmtId="164" fontId="38" fillId="0" borderId="0" xfId="1" applyFont="1" applyFill="1" applyBorder="1" applyAlignment="1"/>
    <xf numFmtId="168" fontId="38" fillId="2" borderId="1" xfId="0" applyNumberFormat="1" applyFont="1" applyFill="1" applyBorder="1" applyAlignment="1">
      <alignment horizontal="center"/>
    </xf>
    <xf numFmtId="168" fontId="38" fillId="0" borderId="0" xfId="0" applyNumberFormat="1" applyFont="1" applyAlignment="1">
      <alignment horizontal="center"/>
    </xf>
    <xf numFmtId="0" fontId="38" fillId="0" borderId="0" xfId="0" applyFont="1" applyAlignment="1">
      <alignment horizontal="center"/>
    </xf>
    <xf numFmtId="164" fontId="38" fillId="2" borderId="1" xfId="1" applyFont="1" applyFill="1" applyBorder="1"/>
    <xf numFmtId="164" fontId="38" fillId="0" borderId="0" xfId="1" applyFont="1" applyFill="1" applyBorder="1"/>
    <xf numFmtId="168" fontId="38" fillId="0" borderId="1" xfId="0" applyNumberFormat="1" applyFont="1" applyBorder="1" applyAlignment="1">
      <alignment horizontal="center"/>
    </xf>
    <xf numFmtId="164" fontId="38" fillId="0" borderId="39" xfId="1" applyFont="1" applyFill="1" applyBorder="1"/>
    <xf numFmtId="164" fontId="38" fillId="0" borderId="1" xfId="1" applyFont="1" applyFill="1" applyBorder="1"/>
    <xf numFmtId="168" fontId="38" fillId="0" borderId="39" xfId="0" applyNumberFormat="1" applyFont="1" applyBorder="1" applyAlignment="1">
      <alignment horizontal="center"/>
    </xf>
    <xf numFmtId="0" fontId="37" fillId="0" borderId="39" xfId="0" applyFont="1" applyBorder="1"/>
    <xf numFmtId="0" fontId="37" fillId="0" borderId="1" xfId="0" applyFont="1" applyBorder="1"/>
    <xf numFmtId="168" fontId="38" fillId="0" borderId="0" xfId="0" applyNumberFormat="1" applyFont="1"/>
    <xf numFmtId="165" fontId="38" fillId="0" borderId="0" xfId="0" applyNumberFormat="1" applyFont="1"/>
    <xf numFmtId="164" fontId="38" fillId="0" borderId="0" xfId="1" applyFont="1" applyFill="1"/>
    <xf numFmtId="164" fontId="38" fillId="0" borderId="39" xfId="1" applyFont="1" applyFill="1" applyBorder="1" applyAlignment="1">
      <alignment horizontal="center"/>
    </xf>
    <xf numFmtId="164" fontId="38" fillId="0" borderId="1" xfId="1" applyFont="1" applyFill="1" applyBorder="1" applyAlignment="1">
      <alignment horizontal="center"/>
    </xf>
    <xf numFmtId="169" fontId="38" fillId="0" borderId="39" xfId="1" applyNumberFormat="1" applyFont="1" applyFill="1" applyBorder="1" applyAlignment="1">
      <alignment horizontal="center"/>
    </xf>
    <xf numFmtId="169" fontId="38" fillId="0" borderId="1" xfId="1" applyNumberFormat="1" applyFont="1" applyFill="1" applyBorder="1" applyAlignment="1">
      <alignment horizontal="center"/>
    </xf>
    <xf numFmtId="169" fontId="38" fillId="0" borderId="0" xfId="1" applyNumberFormat="1" applyFont="1" applyFill="1" applyAlignment="1">
      <alignment horizontal="center"/>
    </xf>
    <xf numFmtId="169" fontId="38" fillId="0" borderId="0" xfId="1" applyNumberFormat="1" applyFont="1" applyFill="1" applyBorder="1" applyAlignment="1">
      <alignment horizontal="center"/>
    </xf>
    <xf numFmtId="168" fontId="38" fillId="0" borderId="39" xfId="1" applyNumberFormat="1" applyFont="1" applyFill="1" applyBorder="1" applyAlignment="1">
      <alignment horizontal="center"/>
    </xf>
    <xf numFmtId="168" fontId="38" fillId="0" borderId="1" xfId="1" applyNumberFormat="1" applyFont="1" applyFill="1" applyBorder="1" applyAlignment="1">
      <alignment horizontal="center"/>
    </xf>
    <xf numFmtId="49" fontId="38" fillId="0" borderId="0" xfId="0" applyNumberFormat="1" applyFont="1" applyAlignment="1">
      <alignment horizontal="center"/>
    </xf>
    <xf numFmtId="164" fontId="40" fillId="0" borderId="0" xfId="1" applyFont="1" applyFill="1"/>
    <xf numFmtId="164" fontId="40" fillId="0" borderId="0" xfId="1" applyFont="1" applyFill="1" applyBorder="1"/>
    <xf numFmtId="168" fontId="41" fillId="0" borderId="39" xfId="0" applyNumberFormat="1" applyFont="1" applyBorder="1" applyAlignment="1">
      <alignment horizontal="center"/>
    </xf>
    <xf numFmtId="168" fontId="41" fillId="0" borderId="1" xfId="0" applyNumberFormat="1" applyFont="1" applyBorder="1" applyAlignment="1">
      <alignment horizontal="center"/>
    </xf>
    <xf numFmtId="0" fontId="41" fillId="0" borderId="0" xfId="0" applyFont="1" applyAlignment="1">
      <alignment horizontal="center"/>
    </xf>
    <xf numFmtId="164" fontId="41" fillId="0" borderId="39" xfId="1" applyFont="1" applyFill="1" applyBorder="1"/>
    <xf numFmtId="164" fontId="41" fillId="0" borderId="1" xfId="1" applyFont="1" applyFill="1" applyBorder="1"/>
    <xf numFmtId="0" fontId="41" fillId="0" borderId="0" xfId="0" applyFont="1"/>
    <xf numFmtId="164" fontId="39" fillId="0" borderId="0" xfId="1" applyFont="1" applyFill="1" applyBorder="1"/>
    <xf numFmtId="164" fontId="38" fillId="0" borderId="0" xfId="0" applyNumberFormat="1" applyFont="1"/>
    <xf numFmtId="164" fontId="38" fillId="0" borderId="0" xfId="1" applyFont="1"/>
    <xf numFmtId="9" fontId="3" fillId="0" borderId="0" xfId="1" applyNumberFormat="1" applyFont="1"/>
    <xf numFmtId="165" fontId="38" fillId="0" borderId="0" xfId="0" applyNumberFormat="1" applyFont="1" applyAlignment="1">
      <alignment horizontal="center"/>
    </xf>
    <xf numFmtId="0" fontId="4" fillId="0" borderId="10" xfId="0" applyFont="1" applyBorder="1"/>
    <xf numFmtId="164" fontId="3" fillId="0" borderId="1" xfId="0" applyNumberFormat="1" applyFont="1" applyBorder="1"/>
    <xf numFmtId="164" fontId="3" fillId="0" borderId="1" xfId="1" applyFont="1" applyFill="1" applyBorder="1" applyAlignment="1">
      <alignment horizontal="center"/>
    </xf>
    <xf numFmtId="164" fontId="4" fillId="0" borderId="1" xfId="0" applyNumberFormat="1" applyFont="1" applyBorder="1"/>
    <xf numFmtId="164" fontId="31" fillId="0" borderId="0" xfId="0" applyNumberFormat="1" applyFont="1"/>
    <xf numFmtId="165" fontId="31" fillId="0" borderId="0" xfId="0" applyNumberFormat="1" applyFont="1"/>
    <xf numFmtId="0" fontId="3" fillId="31" borderId="1" xfId="0" applyFont="1" applyFill="1" applyBorder="1"/>
    <xf numFmtId="168" fontId="3" fillId="31" borderId="1" xfId="0" applyNumberFormat="1" applyFont="1" applyFill="1" applyBorder="1" applyAlignment="1">
      <alignment horizontal="center"/>
    </xf>
    <xf numFmtId="164" fontId="3" fillId="31" borderId="1" xfId="1" quotePrefix="1" applyFont="1" applyFill="1" applyBorder="1" applyAlignment="1">
      <alignment horizontal="center"/>
    </xf>
    <xf numFmtId="164" fontId="3" fillId="31" borderId="1" xfId="1" applyFont="1" applyFill="1" applyBorder="1"/>
    <xf numFmtId="164" fontId="4" fillId="31" borderId="1" xfId="1" applyFont="1" applyFill="1" applyBorder="1"/>
    <xf numFmtId="164" fontId="3" fillId="31" borderId="8" xfId="1" applyFont="1" applyFill="1" applyBorder="1"/>
    <xf numFmtId="164" fontId="3" fillId="31" borderId="0" xfId="1" applyFont="1" applyFill="1" applyBorder="1" applyAlignment="1">
      <alignment horizontal="center"/>
    </xf>
    <xf numFmtId="0" fontId="3" fillId="31" borderId="0" xfId="0" applyFont="1" applyFill="1"/>
    <xf numFmtId="164" fontId="3" fillId="31" borderId="1" xfId="1" quotePrefix="1" applyFont="1" applyFill="1" applyBorder="1"/>
    <xf numFmtId="164" fontId="3" fillId="31" borderId="0" xfId="1" applyFont="1" applyFill="1" applyBorder="1"/>
    <xf numFmtId="164" fontId="3" fillId="31" borderId="0" xfId="1" quotePrefix="1" applyFont="1" applyFill="1" applyBorder="1" applyAlignment="1">
      <alignment horizontal="center"/>
    </xf>
    <xf numFmtId="168" fontId="26" fillId="0" borderId="1" xfId="0" applyNumberFormat="1" applyFont="1" applyBorder="1" applyAlignment="1">
      <alignment horizontal="center"/>
    </xf>
    <xf numFmtId="164" fontId="26" fillId="0" borderId="1" xfId="1" applyFont="1" applyFill="1" applyBorder="1"/>
    <xf numFmtId="164" fontId="26" fillId="0" borderId="8" xfId="1" applyFont="1" applyFill="1" applyBorder="1"/>
    <xf numFmtId="164" fontId="26" fillId="0" borderId="0" xfId="1" applyFont="1" applyFill="1" applyBorder="1" applyAlignment="1">
      <alignment horizontal="center"/>
    </xf>
    <xf numFmtId="0" fontId="26" fillId="0" borderId="0" xfId="0" applyFont="1"/>
    <xf numFmtId="164" fontId="4" fillId="31" borderId="0" xfId="1" quotePrefix="1" applyFont="1" applyFill="1" applyBorder="1" applyAlignment="1">
      <alignment horizontal="center"/>
    </xf>
    <xf numFmtId="0" fontId="22" fillId="31" borderId="1" xfId="0" applyFont="1" applyFill="1" applyBorder="1"/>
    <xf numFmtId="164" fontId="3" fillId="28" borderId="1" xfId="1" applyFont="1" applyFill="1" applyBorder="1"/>
    <xf numFmtId="164" fontId="3" fillId="33" borderId="1" xfId="1" applyFont="1" applyFill="1" applyBorder="1"/>
    <xf numFmtId="0" fontId="3" fillId="25" borderId="1" xfId="0" applyFont="1" applyFill="1" applyBorder="1"/>
    <xf numFmtId="0" fontId="3" fillId="25" borderId="1" xfId="0" applyFont="1" applyFill="1" applyBorder="1" applyAlignment="1">
      <alignment horizontal="center"/>
    </xf>
    <xf numFmtId="168" fontId="3" fillId="33" borderId="1" xfId="0" applyNumberFormat="1" applyFont="1" applyFill="1" applyBorder="1" applyAlignment="1">
      <alignment horizontal="center"/>
    </xf>
    <xf numFmtId="0" fontId="22" fillId="25" borderId="1" xfId="0" applyFont="1" applyFill="1" applyBorder="1"/>
    <xf numFmtId="0" fontId="26" fillId="25" borderId="1" xfId="0" applyFont="1" applyFill="1" applyBorder="1" applyAlignment="1">
      <alignment horizontal="center"/>
    </xf>
    <xf numFmtId="49" fontId="22" fillId="25" borderId="1" xfId="0" applyNumberFormat="1" applyFont="1" applyFill="1" applyBorder="1"/>
    <xf numFmtId="0" fontId="3" fillId="25" borderId="1" xfId="0" applyFont="1" applyFill="1" applyBorder="1" applyAlignment="1">
      <alignment horizontal="left"/>
    </xf>
    <xf numFmtId="49" fontId="17" fillId="25" borderId="1" xfId="0" applyNumberFormat="1" applyFont="1" applyFill="1" applyBorder="1"/>
    <xf numFmtId="0" fontId="3" fillId="25" borderId="11" xfId="0" applyFont="1" applyFill="1" applyBorder="1"/>
    <xf numFmtId="49" fontId="17" fillId="25" borderId="19" xfId="0" applyNumberFormat="1" applyFont="1" applyFill="1" applyBorder="1"/>
    <xf numFmtId="0" fontId="26" fillId="25" borderId="1" xfId="0" applyFont="1" applyFill="1" applyBorder="1" applyAlignment="1">
      <alignment horizontal="left"/>
    </xf>
    <xf numFmtId="49" fontId="26" fillId="25" borderId="1" xfId="0" applyNumberFormat="1" applyFont="1" applyFill="1" applyBorder="1"/>
    <xf numFmtId="168" fontId="26" fillId="34" borderId="1" xfId="0" applyNumberFormat="1" applyFont="1" applyFill="1" applyBorder="1" applyAlignment="1">
      <alignment horizontal="center"/>
    </xf>
    <xf numFmtId="49" fontId="16" fillId="25" borderId="1" xfId="0" applyNumberFormat="1" applyFont="1" applyFill="1" applyBorder="1"/>
    <xf numFmtId="49" fontId="3" fillId="25" borderId="1" xfId="0" applyNumberFormat="1" applyFont="1" applyFill="1" applyBorder="1"/>
    <xf numFmtId="0" fontId="22" fillId="25" borderId="1" xfId="0" quotePrefix="1" applyFont="1" applyFill="1" applyBorder="1"/>
    <xf numFmtId="0" fontId="4" fillId="25" borderId="1" xfId="0" applyFont="1" applyFill="1" applyBorder="1" applyAlignment="1">
      <alignment horizontal="center"/>
    </xf>
    <xf numFmtId="164" fontId="3" fillId="35" borderId="1" xfId="1" applyFont="1" applyFill="1" applyBorder="1"/>
    <xf numFmtId="164" fontId="4" fillId="35" borderId="1" xfId="1" applyFont="1" applyFill="1" applyBorder="1"/>
    <xf numFmtId="0" fontId="16" fillId="25" borderId="1" xfId="0" applyFont="1" applyFill="1" applyBorder="1"/>
    <xf numFmtId="0" fontId="3" fillId="25" borderId="37" xfId="0" applyFont="1" applyFill="1" applyBorder="1"/>
    <xf numFmtId="0" fontId="3" fillId="34" borderId="1" xfId="0" applyFont="1" applyFill="1" applyBorder="1"/>
    <xf numFmtId="0" fontId="3" fillId="34" borderId="1" xfId="0" applyFont="1" applyFill="1" applyBorder="1" applyAlignment="1">
      <alignment horizontal="center"/>
    </xf>
    <xf numFmtId="168" fontId="3" fillId="34" borderId="1" xfId="0" applyNumberFormat="1" applyFont="1" applyFill="1" applyBorder="1" applyAlignment="1">
      <alignment horizontal="center"/>
    </xf>
    <xf numFmtId="49" fontId="26" fillId="34" borderId="1" xfId="0" applyNumberFormat="1" applyFont="1" applyFill="1" applyBorder="1"/>
    <xf numFmtId="49" fontId="17" fillId="34" borderId="1" xfId="0" applyNumberFormat="1" applyFont="1" applyFill="1" applyBorder="1"/>
    <xf numFmtId="0" fontId="3" fillId="32" borderId="1" xfId="0" applyFont="1" applyFill="1" applyBorder="1"/>
    <xf numFmtId="0" fontId="3" fillId="32" borderId="1" xfId="0" applyFont="1" applyFill="1" applyBorder="1" applyAlignment="1">
      <alignment horizontal="center"/>
    </xf>
    <xf numFmtId="0" fontId="26" fillId="32" borderId="1" xfId="0" applyFont="1" applyFill="1" applyBorder="1" applyAlignment="1">
      <alignment horizontal="left"/>
    </xf>
    <xf numFmtId="49" fontId="26" fillId="32" borderId="1" xfId="0" applyNumberFormat="1" applyFont="1" applyFill="1" applyBorder="1"/>
    <xf numFmtId="49" fontId="16" fillId="32" borderId="1" xfId="0" applyNumberFormat="1" applyFont="1" applyFill="1" applyBorder="1"/>
    <xf numFmtId="0" fontId="22" fillId="32" borderId="1" xfId="0" applyFont="1" applyFill="1" applyBorder="1"/>
    <xf numFmtId="164" fontId="3" fillId="36" borderId="1" xfId="1" quotePrefix="1" applyFont="1" applyFill="1" applyBorder="1"/>
    <xf numFmtId="164" fontId="26" fillId="36" borderId="1" xfId="1" quotePrefix="1" applyFont="1" applyFill="1" applyBorder="1"/>
    <xf numFmtId="164" fontId="3" fillId="36" borderId="1" xfId="1" quotePrefix="1" applyFont="1" applyFill="1" applyBorder="1" applyAlignment="1">
      <alignment horizontal="center"/>
    </xf>
    <xf numFmtId="164" fontId="3" fillId="33" borderId="1" xfId="1" quotePrefix="1" applyFont="1" applyFill="1" applyBorder="1"/>
    <xf numFmtId="164" fontId="4" fillId="36" borderId="1" xfId="1" quotePrefix="1" applyFont="1" applyFill="1" applyBorder="1"/>
    <xf numFmtId="0" fontId="3" fillId="25" borderId="0" xfId="0" applyFont="1" applyFill="1"/>
    <xf numFmtId="164" fontId="3" fillId="32" borderId="1" xfId="1" applyFont="1" applyFill="1" applyBorder="1"/>
    <xf numFmtId="164" fontId="3" fillId="37" borderId="1" xfId="1" quotePrefix="1" applyFont="1" applyFill="1" applyBorder="1"/>
    <xf numFmtId="164" fontId="3" fillId="37" borderId="1" xfId="1" applyFont="1" applyFill="1" applyBorder="1"/>
    <xf numFmtId="164" fontId="26" fillId="37" borderId="1" xfId="1" applyFont="1" applyFill="1" applyBorder="1"/>
    <xf numFmtId="164" fontId="4" fillId="37" borderId="1" xfId="1" applyFont="1" applyFill="1" applyBorder="1"/>
    <xf numFmtId="166" fontId="4" fillId="24" borderId="11" xfId="0" applyNumberFormat="1" applyFont="1" applyFill="1" applyBorder="1" applyAlignment="1">
      <alignment horizontal="center"/>
    </xf>
    <xf numFmtId="166" fontId="4" fillId="24" borderId="16" xfId="0" applyNumberFormat="1" applyFont="1" applyFill="1" applyBorder="1" applyAlignment="1">
      <alignment horizontal="center"/>
    </xf>
    <xf numFmtId="166" fontId="4" fillId="24" borderId="12" xfId="0" applyNumberFormat="1" applyFont="1" applyFill="1" applyBorder="1" applyAlignment="1">
      <alignment horizontal="center"/>
    </xf>
    <xf numFmtId="0" fontId="3" fillId="33" borderId="1" xfId="0" applyFont="1" applyFill="1" applyBorder="1" applyAlignment="1">
      <alignment horizontal="center"/>
    </xf>
    <xf numFmtId="0" fontId="3" fillId="38" borderId="0" xfId="0" applyFont="1" applyFill="1"/>
    <xf numFmtId="0" fontId="3" fillId="38" borderId="1" xfId="0" applyFont="1" applyFill="1" applyBorder="1"/>
    <xf numFmtId="10" fontId="3" fillId="0" borderId="0" xfId="1" applyNumberFormat="1" applyFont="1"/>
    <xf numFmtId="0" fontId="0" fillId="28" borderId="1" xfId="0" applyFill="1" applyBorder="1"/>
    <xf numFmtId="0" fontId="0" fillId="0" borderId="1" xfId="0" applyBorder="1"/>
    <xf numFmtId="164" fontId="4" fillId="25" borderId="1" xfId="0" applyNumberFormat="1" applyFont="1" applyFill="1" applyBorder="1"/>
    <xf numFmtId="43" fontId="4" fillId="0" borderId="0" xfId="0" applyNumberFormat="1" applyFont="1"/>
    <xf numFmtId="0" fontId="3" fillId="28" borderId="1" xfId="0" applyFont="1" applyFill="1" applyBorder="1"/>
    <xf numFmtId="0" fontId="31" fillId="0" borderId="0" xfId="0" quotePrefix="1" applyFont="1" applyAlignment="1">
      <alignment horizontal="center"/>
    </xf>
    <xf numFmtId="0" fontId="4" fillId="32" borderId="1" xfId="0" applyFont="1" applyFill="1" applyBorder="1"/>
    <xf numFmtId="0" fontId="3" fillId="32" borderId="1" xfId="0" quotePrefix="1" applyFont="1" applyFill="1" applyBorder="1"/>
    <xf numFmtId="0" fontId="3" fillId="32" borderId="11" xfId="0" applyFont="1" applyFill="1" applyBorder="1"/>
    <xf numFmtId="0" fontId="3" fillId="32" borderId="1" xfId="0" applyFont="1" applyFill="1" applyBorder="1" applyAlignment="1">
      <alignment horizontal="left"/>
    </xf>
    <xf numFmtId="0" fontId="3" fillId="32" borderId="10" xfId="0" applyFont="1" applyFill="1" applyBorder="1"/>
    <xf numFmtId="0" fontId="0" fillId="32" borderId="1" xfId="0" applyFill="1" applyBorder="1"/>
    <xf numFmtId="0" fontId="26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36" borderId="1" xfId="0" applyFont="1" applyFill="1" applyBorder="1"/>
    <xf numFmtId="0" fontId="3" fillId="25" borderId="10" xfId="0" applyFont="1" applyFill="1" applyBorder="1"/>
    <xf numFmtId="0" fontId="3" fillId="36" borderId="10" xfId="0" applyFont="1" applyFill="1" applyBorder="1"/>
    <xf numFmtId="164" fontId="3" fillId="36" borderId="1" xfId="1" applyFont="1" applyFill="1" applyBorder="1"/>
    <xf numFmtId="164" fontId="3" fillId="36" borderId="8" xfId="1" applyFont="1" applyFill="1" applyBorder="1"/>
    <xf numFmtId="0" fontId="3" fillId="36" borderId="1" xfId="0" applyFont="1" applyFill="1" applyBorder="1" applyAlignment="1">
      <alignment horizontal="center"/>
    </xf>
    <xf numFmtId="168" fontId="3" fillId="36" borderId="1" xfId="0" applyNumberFormat="1" applyFont="1" applyFill="1" applyBorder="1" applyAlignment="1">
      <alignment horizontal="center"/>
    </xf>
    <xf numFmtId="49" fontId="17" fillId="36" borderId="1" xfId="0" applyNumberFormat="1" applyFont="1" applyFill="1" applyBorder="1"/>
    <xf numFmtId="164" fontId="26" fillId="36" borderId="1" xfId="1" applyFont="1" applyFill="1" applyBorder="1"/>
    <xf numFmtId="43" fontId="3" fillId="0" borderId="0" xfId="0" applyNumberFormat="1" applyFont="1"/>
    <xf numFmtId="166" fontId="4" fillId="24" borderId="11" xfId="0" applyNumberFormat="1" applyFont="1" applyFill="1" applyBorder="1" applyAlignment="1">
      <alignment horizontal="center"/>
    </xf>
    <xf numFmtId="166" fontId="4" fillId="24" borderId="16" xfId="0" applyNumberFormat="1" applyFont="1" applyFill="1" applyBorder="1" applyAlignment="1">
      <alignment horizontal="center"/>
    </xf>
    <xf numFmtId="166" fontId="4" fillId="24" borderId="12" xfId="0" applyNumberFormat="1" applyFont="1" applyFill="1" applyBorder="1" applyAlignment="1">
      <alignment horizontal="center"/>
    </xf>
    <xf numFmtId="166" fontId="4" fillId="3" borderId="11" xfId="0" applyNumberFormat="1" applyFont="1" applyFill="1" applyBorder="1" applyAlignment="1">
      <alignment horizontal="center"/>
    </xf>
    <xf numFmtId="166" fontId="4" fillId="3" borderId="16" xfId="0" applyNumberFormat="1" applyFont="1" applyFill="1" applyBorder="1" applyAlignment="1">
      <alignment horizontal="center"/>
    </xf>
    <xf numFmtId="166" fontId="4" fillId="3" borderId="12" xfId="0" applyNumberFormat="1" applyFont="1" applyFill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revisionHeaders" Target="revisions/revisionHeader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usernames" Target="revisions/userNames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revisions/_rels/revisionHeaders.xml.rels><?xml version="1.0" encoding="UTF-8" standalone="yes"?>
<Relationships xmlns="http://schemas.openxmlformats.org/package/2006/relationships"><Relationship Id="rId117" Type="http://schemas.openxmlformats.org/officeDocument/2006/relationships/revisionLog" Target="revisionLog27.xml"/><Relationship Id="rId299" Type="http://schemas.openxmlformats.org/officeDocument/2006/relationships/revisionLog" Target="revisionLog209.xml"/><Relationship Id="rId159" Type="http://schemas.openxmlformats.org/officeDocument/2006/relationships/revisionLog" Target="revisionLog69.xml"/><Relationship Id="rId324" Type="http://schemas.openxmlformats.org/officeDocument/2006/relationships/revisionLog" Target="revisionLog234.xml"/><Relationship Id="rId366" Type="http://schemas.openxmlformats.org/officeDocument/2006/relationships/revisionLog" Target="revisionLog276.xml"/><Relationship Id="rId170" Type="http://schemas.openxmlformats.org/officeDocument/2006/relationships/revisionLog" Target="revisionLog80.xml"/><Relationship Id="rId226" Type="http://schemas.openxmlformats.org/officeDocument/2006/relationships/revisionLog" Target="revisionLog136.xml"/><Relationship Id="rId268" Type="http://schemas.openxmlformats.org/officeDocument/2006/relationships/revisionLog" Target="revisionLog178.xml"/><Relationship Id="rId128" Type="http://schemas.openxmlformats.org/officeDocument/2006/relationships/revisionLog" Target="revisionLog38.xml"/><Relationship Id="rId335" Type="http://schemas.openxmlformats.org/officeDocument/2006/relationships/revisionLog" Target="revisionLog245.xml"/><Relationship Id="rId377" Type="http://schemas.openxmlformats.org/officeDocument/2006/relationships/revisionLog" Target="revisionLog287.xml"/><Relationship Id="rId181" Type="http://schemas.openxmlformats.org/officeDocument/2006/relationships/revisionLog" Target="revisionLog91.xml"/><Relationship Id="rId237" Type="http://schemas.openxmlformats.org/officeDocument/2006/relationships/revisionLog" Target="revisionLog147.xml"/><Relationship Id="rId279" Type="http://schemas.openxmlformats.org/officeDocument/2006/relationships/revisionLog" Target="revisionLog189.xml"/><Relationship Id="rId139" Type="http://schemas.openxmlformats.org/officeDocument/2006/relationships/revisionLog" Target="revisionLog49.xml"/><Relationship Id="rId290" Type="http://schemas.openxmlformats.org/officeDocument/2006/relationships/revisionLog" Target="revisionLog200.xml"/><Relationship Id="rId304" Type="http://schemas.openxmlformats.org/officeDocument/2006/relationships/revisionLog" Target="revisionLog214.xml"/><Relationship Id="rId346" Type="http://schemas.openxmlformats.org/officeDocument/2006/relationships/revisionLog" Target="revisionLog256.xml"/><Relationship Id="rId150" Type="http://schemas.openxmlformats.org/officeDocument/2006/relationships/revisionLog" Target="revisionLog60.xml"/><Relationship Id="rId192" Type="http://schemas.openxmlformats.org/officeDocument/2006/relationships/revisionLog" Target="revisionLog102.xml"/><Relationship Id="rId206" Type="http://schemas.openxmlformats.org/officeDocument/2006/relationships/revisionLog" Target="revisionLog116.xml"/><Relationship Id="rId248" Type="http://schemas.openxmlformats.org/officeDocument/2006/relationships/revisionLog" Target="revisionLog158.xml"/><Relationship Id="rId269" Type="http://schemas.openxmlformats.org/officeDocument/2006/relationships/revisionLog" Target="revisionLog179.xml"/><Relationship Id="rId108" Type="http://schemas.openxmlformats.org/officeDocument/2006/relationships/revisionLog" Target="revisionLog18.xml"/><Relationship Id="rId129" Type="http://schemas.openxmlformats.org/officeDocument/2006/relationships/revisionLog" Target="revisionLog39.xml"/><Relationship Id="rId280" Type="http://schemas.openxmlformats.org/officeDocument/2006/relationships/revisionLog" Target="revisionLog190.xml"/><Relationship Id="rId315" Type="http://schemas.openxmlformats.org/officeDocument/2006/relationships/revisionLog" Target="revisionLog225.xml"/><Relationship Id="rId336" Type="http://schemas.openxmlformats.org/officeDocument/2006/relationships/revisionLog" Target="revisionLog246.xml"/><Relationship Id="rId357" Type="http://schemas.openxmlformats.org/officeDocument/2006/relationships/revisionLog" Target="revisionLog267.xml"/><Relationship Id="rId96" Type="http://schemas.openxmlformats.org/officeDocument/2006/relationships/revisionLog" Target="revisionLog4.xml"/><Relationship Id="rId140" Type="http://schemas.openxmlformats.org/officeDocument/2006/relationships/revisionLog" Target="revisionLog50.xml"/><Relationship Id="rId161" Type="http://schemas.openxmlformats.org/officeDocument/2006/relationships/revisionLog" Target="revisionLog71.xml"/><Relationship Id="rId182" Type="http://schemas.openxmlformats.org/officeDocument/2006/relationships/revisionLog" Target="revisionLog92.xml"/><Relationship Id="rId217" Type="http://schemas.openxmlformats.org/officeDocument/2006/relationships/revisionLog" Target="revisionLog127.xml"/><Relationship Id="rId378" Type="http://schemas.openxmlformats.org/officeDocument/2006/relationships/revisionLog" Target="revisionLog288.xml"/><Relationship Id="rId238" Type="http://schemas.openxmlformats.org/officeDocument/2006/relationships/revisionLog" Target="revisionLog148.xml"/><Relationship Id="rId259" Type="http://schemas.openxmlformats.org/officeDocument/2006/relationships/revisionLog" Target="revisionLog169.xml"/><Relationship Id="rId119" Type="http://schemas.openxmlformats.org/officeDocument/2006/relationships/revisionLog" Target="revisionLog29.xml"/><Relationship Id="rId270" Type="http://schemas.openxmlformats.org/officeDocument/2006/relationships/revisionLog" Target="revisionLog180.xml"/><Relationship Id="rId291" Type="http://schemas.openxmlformats.org/officeDocument/2006/relationships/revisionLog" Target="revisionLog201.xml"/><Relationship Id="rId305" Type="http://schemas.openxmlformats.org/officeDocument/2006/relationships/revisionLog" Target="revisionLog215.xml"/><Relationship Id="rId326" Type="http://schemas.openxmlformats.org/officeDocument/2006/relationships/revisionLog" Target="revisionLog236.xml"/><Relationship Id="rId347" Type="http://schemas.openxmlformats.org/officeDocument/2006/relationships/revisionLog" Target="revisionLog257.xml"/><Relationship Id="rId130" Type="http://schemas.openxmlformats.org/officeDocument/2006/relationships/revisionLog" Target="revisionLog40.xml"/><Relationship Id="rId151" Type="http://schemas.openxmlformats.org/officeDocument/2006/relationships/revisionLog" Target="revisionLog61.xml"/><Relationship Id="rId368" Type="http://schemas.openxmlformats.org/officeDocument/2006/relationships/revisionLog" Target="revisionLog278.xml"/><Relationship Id="rId172" Type="http://schemas.openxmlformats.org/officeDocument/2006/relationships/revisionLog" Target="revisionLog82.xml"/><Relationship Id="rId193" Type="http://schemas.openxmlformats.org/officeDocument/2006/relationships/revisionLog" Target="revisionLog103.xml"/><Relationship Id="rId207" Type="http://schemas.openxmlformats.org/officeDocument/2006/relationships/revisionLog" Target="revisionLog117.xml"/><Relationship Id="rId228" Type="http://schemas.openxmlformats.org/officeDocument/2006/relationships/revisionLog" Target="revisionLog138.xml"/><Relationship Id="rId249" Type="http://schemas.openxmlformats.org/officeDocument/2006/relationships/revisionLog" Target="revisionLog159.xml"/><Relationship Id="rId109" Type="http://schemas.openxmlformats.org/officeDocument/2006/relationships/revisionLog" Target="revisionLog19.xml"/><Relationship Id="rId260" Type="http://schemas.openxmlformats.org/officeDocument/2006/relationships/revisionLog" Target="revisionLog170.xml"/><Relationship Id="rId281" Type="http://schemas.openxmlformats.org/officeDocument/2006/relationships/revisionLog" Target="revisionLog191.xml"/><Relationship Id="rId316" Type="http://schemas.openxmlformats.org/officeDocument/2006/relationships/revisionLog" Target="revisionLog226.xml"/><Relationship Id="rId337" Type="http://schemas.openxmlformats.org/officeDocument/2006/relationships/revisionLog" Target="revisionLog247.xml"/><Relationship Id="rId97" Type="http://schemas.openxmlformats.org/officeDocument/2006/relationships/revisionLog" Target="revisionLog5.xml"/><Relationship Id="rId120" Type="http://schemas.openxmlformats.org/officeDocument/2006/relationships/revisionLog" Target="revisionLog30.xml"/><Relationship Id="rId141" Type="http://schemas.openxmlformats.org/officeDocument/2006/relationships/revisionLog" Target="revisionLog51.xml"/><Relationship Id="rId358" Type="http://schemas.openxmlformats.org/officeDocument/2006/relationships/revisionLog" Target="revisionLog268.xml"/><Relationship Id="rId379" Type="http://schemas.openxmlformats.org/officeDocument/2006/relationships/revisionLog" Target="revisionLog289.xml"/><Relationship Id="rId162" Type="http://schemas.openxmlformats.org/officeDocument/2006/relationships/revisionLog" Target="revisionLog72.xml"/><Relationship Id="rId183" Type="http://schemas.openxmlformats.org/officeDocument/2006/relationships/revisionLog" Target="revisionLog93.xml"/><Relationship Id="rId218" Type="http://schemas.openxmlformats.org/officeDocument/2006/relationships/revisionLog" Target="revisionLog128.xml"/><Relationship Id="rId239" Type="http://schemas.openxmlformats.org/officeDocument/2006/relationships/revisionLog" Target="revisionLog149.xml"/><Relationship Id="rId250" Type="http://schemas.openxmlformats.org/officeDocument/2006/relationships/revisionLog" Target="revisionLog160.xml"/><Relationship Id="rId271" Type="http://schemas.openxmlformats.org/officeDocument/2006/relationships/revisionLog" Target="revisionLog181.xml"/><Relationship Id="rId292" Type="http://schemas.openxmlformats.org/officeDocument/2006/relationships/revisionLog" Target="revisionLog202.xml"/><Relationship Id="rId306" Type="http://schemas.openxmlformats.org/officeDocument/2006/relationships/revisionLog" Target="revisionLog216.xml"/><Relationship Id="rId110" Type="http://schemas.openxmlformats.org/officeDocument/2006/relationships/revisionLog" Target="revisionLog20.xml"/><Relationship Id="rId131" Type="http://schemas.openxmlformats.org/officeDocument/2006/relationships/revisionLog" Target="revisionLog41.xml"/><Relationship Id="rId327" Type="http://schemas.openxmlformats.org/officeDocument/2006/relationships/revisionLog" Target="revisionLog237.xml"/><Relationship Id="rId348" Type="http://schemas.openxmlformats.org/officeDocument/2006/relationships/revisionLog" Target="revisionLog258.xml"/><Relationship Id="rId369" Type="http://schemas.openxmlformats.org/officeDocument/2006/relationships/revisionLog" Target="revisionLog279.xml"/><Relationship Id="rId152" Type="http://schemas.openxmlformats.org/officeDocument/2006/relationships/revisionLog" Target="revisionLog62.xml"/><Relationship Id="rId173" Type="http://schemas.openxmlformats.org/officeDocument/2006/relationships/revisionLog" Target="revisionLog83.xml"/><Relationship Id="rId194" Type="http://schemas.openxmlformats.org/officeDocument/2006/relationships/revisionLog" Target="revisionLog104.xml"/><Relationship Id="rId208" Type="http://schemas.openxmlformats.org/officeDocument/2006/relationships/revisionLog" Target="revisionLog118.xml"/><Relationship Id="rId229" Type="http://schemas.openxmlformats.org/officeDocument/2006/relationships/revisionLog" Target="revisionLog139.xml"/><Relationship Id="rId380" Type="http://schemas.openxmlformats.org/officeDocument/2006/relationships/revisionLog" Target="revisionLog290.xml"/><Relationship Id="rId240" Type="http://schemas.openxmlformats.org/officeDocument/2006/relationships/revisionLog" Target="revisionLog150.xml"/><Relationship Id="rId261" Type="http://schemas.openxmlformats.org/officeDocument/2006/relationships/revisionLog" Target="revisionLog171.xml"/><Relationship Id="rId100" Type="http://schemas.openxmlformats.org/officeDocument/2006/relationships/revisionLog" Target="revisionLog8.xml"/><Relationship Id="rId282" Type="http://schemas.openxmlformats.org/officeDocument/2006/relationships/revisionLog" Target="revisionLog192.xml"/><Relationship Id="rId317" Type="http://schemas.openxmlformats.org/officeDocument/2006/relationships/revisionLog" Target="revisionLog227.xml"/><Relationship Id="rId338" Type="http://schemas.openxmlformats.org/officeDocument/2006/relationships/revisionLog" Target="revisionLog248.xml"/><Relationship Id="rId359" Type="http://schemas.openxmlformats.org/officeDocument/2006/relationships/revisionLog" Target="revisionLog269.xml"/><Relationship Id="rId98" Type="http://schemas.openxmlformats.org/officeDocument/2006/relationships/revisionLog" Target="revisionLog6.xml"/><Relationship Id="rId121" Type="http://schemas.openxmlformats.org/officeDocument/2006/relationships/revisionLog" Target="revisionLog31.xml"/><Relationship Id="rId142" Type="http://schemas.openxmlformats.org/officeDocument/2006/relationships/revisionLog" Target="revisionLog52.xml"/><Relationship Id="rId163" Type="http://schemas.openxmlformats.org/officeDocument/2006/relationships/revisionLog" Target="revisionLog73.xml"/><Relationship Id="rId184" Type="http://schemas.openxmlformats.org/officeDocument/2006/relationships/revisionLog" Target="revisionLog94.xml"/><Relationship Id="rId219" Type="http://schemas.openxmlformats.org/officeDocument/2006/relationships/revisionLog" Target="revisionLog129.xml"/><Relationship Id="rId370" Type="http://schemas.openxmlformats.org/officeDocument/2006/relationships/revisionLog" Target="revisionLog280.xml"/><Relationship Id="rId230" Type="http://schemas.openxmlformats.org/officeDocument/2006/relationships/revisionLog" Target="revisionLog140.xml"/><Relationship Id="rId251" Type="http://schemas.openxmlformats.org/officeDocument/2006/relationships/revisionLog" Target="revisionLog161.xml"/><Relationship Id="rId272" Type="http://schemas.openxmlformats.org/officeDocument/2006/relationships/revisionLog" Target="revisionLog182.xml"/><Relationship Id="rId293" Type="http://schemas.openxmlformats.org/officeDocument/2006/relationships/revisionLog" Target="revisionLog203.xml"/><Relationship Id="rId307" Type="http://schemas.openxmlformats.org/officeDocument/2006/relationships/revisionLog" Target="revisionLog217.xml"/><Relationship Id="rId328" Type="http://schemas.openxmlformats.org/officeDocument/2006/relationships/revisionLog" Target="revisionLog238.xml"/><Relationship Id="rId349" Type="http://schemas.openxmlformats.org/officeDocument/2006/relationships/revisionLog" Target="revisionLog259.xml"/><Relationship Id="rId111" Type="http://schemas.openxmlformats.org/officeDocument/2006/relationships/revisionLog" Target="revisionLog21.xml"/><Relationship Id="rId132" Type="http://schemas.openxmlformats.org/officeDocument/2006/relationships/revisionLog" Target="revisionLog42.xml"/><Relationship Id="rId153" Type="http://schemas.openxmlformats.org/officeDocument/2006/relationships/revisionLog" Target="revisionLog63.xml"/><Relationship Id="rId174" Type="http://schemas.openxmlformats.org/officeDocument/2006/relationships/revisionLog" Target="revisionLog84.xml"/><Relationship Id="rId195" Type="http://schemas.openxmlformats.org/officeDocument/2006/relationships/revisionLog" Target="revisionLog105.xml"/><Relationship Id="rId209" Type="http://schemas.openxmlformats.org/officeDocument/2006/relationships/revisionLog" Target="revisionLog119.xml"/><Relationship Id="rId360" Type="http://schemas.openxmlformats.org/officeDocument/2006/relationships/revisionLog" Target="revisionLog270.xml"/><Relationship Id="rId381" Type="http://schemas.openxmlformats.org/officeDocument/2006/relationships/revisionLog" Target="revisionLog291.xml"/><Relationship Id="rId220" Type="http://schemas.openxmlformats.org/officeDocument/2006/relationships/revisionLog" Target="revisionLog130.xml"/><Relationship Id="rId241" Type="http://schemas.openxmlformats.org/officeDocument/2006/relationships/revisionLog" Target="revisionLog151.xml"/><Relationship Id="rId262" Type="http://schemas.openxmlformats.org/officeDocument/2006/relationships/revisionLog" Target="revisionLog172.xml"/><Relationship Id="rId283" Type="http://schemas.openxmlformats.org/officeDocument/2006/relationships/revisionLog" Target="revisionLog193.xml"/><Relationship Id="rId318" Type="http://schemas.openxmlformats.org/officeDocument/2006/relationships/revisionLog" Target="revisionLog228.xml"/><Relationship Id="rId339" Type="http://schemas.openxmlformats.org/officeDocument/2006/relationships/revisionLog" Target="revisionLog249.xml"/><Relationship Id="rId99" Type="http://schemas.openxmlformats.org/officeDocument/2006/relationships/revisionLog" Target="revisionLog7.xml"/><Relationship Id="rId101" Type="http://schemas.openxmlformats.org/officeDocument/2006/relationships/revisionLog" Target="revisionLog9.xml"/><Relationship Id="rId122" Type="http://schemas.openxmlformats.org/officeDocument/2006/relationships/revisionLog" Target="revisionLog32.xml"/><Relationship Id="rId143" Type="http://schemas.openxmlformats.org/officeDocument/2006/relationships/revisionLog" Target="revisionLog53.xml"/><Relationship Id="rId164" Type="http://schemas.openxmlformats.org/officeDocument/2006/relationships/revisionLog" Target="revisionLog74.xml"/><Relationship Id="rId185" Type="http://schemas.openxmlformats.org/officeDocument/2006/relationships/revisionLog" Target="revisionLog95.xml"/><Relationship Id="rId350" Type="http://schemas.openxmlformats.org/officeDocument/2006/relationships/revisionLog" Target="revisionLog260.xml"/><Relationship Id="rId371" Type="http://schemas.openxmlformats.org/officeDocument/2006/relationships/revisionLog" Target="revisionLog281.xml"/><Relationship Id="rId210" Type="http://schemas.openxmlformats.org/officeDocument/2006/relationships/revisionLog" Target="revisionLog120.xml"/><Relationship Id="rId231" Type="http://schemas.openxmlformats.org/officeDocument/2006/relationships/revisionLog" Target="revisionLog141.xml"/><Relationship Id="rId252" Type="http://schemas.openxmlformats.org/officeDocument/2006/relationships/revisionLog" Target="revisionLog162.xml"/><Relationship Id="rId273" Type="http://schemas.openxmlformats.org/officeDocument/2006/relationships/revisionLog" Target="revisionLog183.xml"/><Relationship Id="rId294" Type="http://schemas.openxmlformats.org/officeDocument/2006/relationships/revisionLog" Target="revisionLog204.xml"/><Relationship Id="rId308" Type="http://schemas.openxmlformats.org/officeDocument/2006/relationships/revisionLog" Target="revisionLog218.xml"/><Relationship Id="rId329" Type="http://schemas.openxmlformats.org/officeDocument/2006/relationships/revisionLog" Target="revisionLog239.xml"/><Relationship Id="rId112" Type="http://schemas.openxmlformats.org/officeDocument/2006/relationships/revisionLog" Target="revisionLog22.xml"/><Relationship Id="rId133" Type="http://schemas.openxmlformats.org/officeDocument/2006/relationships/revisionLog" Target="revisionLog43.xml"/><Relationship Id="rId154" Type="http://schemas.openxmlformats.org/officeDocument/2006/relationships/revisionLog" Target="revisionLog64.xml"/><Relationship Id="rId175" Type="http://schemas.openxmlformats.org/officeDocument/2006/relationships/revisionLog" Target="revisionLog85.xml"/><Relationship Id="rId340" Type="http://schemas.openxmlformats.org/officeDocument/2006/relationships/revisionLog" Target="revisionLog250.xml"/><Relationship Id="rId361" Type="http://schemas.openxmlformats.org/officeDocument/2006/relationships/revisionLog" Target="revisionLog271.xml"/><Relationship Id="rId196" Type="http://schemas.openxmlformats.org/officeDocument/2006/relationships/revisionLog" Target="revisionLog106.xml"/><Relationship Id="rId200" Type="http://schemas.openxmlformats.org/officeDocument/2006/relationships/revisionLog" Target="revisionLog110.xml"/><Relationship Id="rId382" Type="http://schemas.openxmlformats.org/officeDocument/2006/relationships/revisionLog" Target="revisionLog292.xml"/><Relationship Id="rId221" Type="http://schemas.openxmlformats.org/officeDocument/2006/relationships/revisionLog" Target="revisionLog131.xml"/><Relationship Id="rId242" Type="http://schemas.openxmlformats.org/officeDocument/2006/relationships/revisionLog" Target="revisionLog152.xml"/><Relationship Id="rId263" Type="http://schemas.openxmlformats.org/officeDocument/2006/relationships/revisionLog" Target="revisionLog173.xml"/><Relationship Id="rId284" Type="http://schemas.openxmlformats.org/officeDocument/2006/relationships/revisionLog" Target="revisionLog194.xml"/><Relationship Id="rId319" Type="http://schemas.openxmlformats.org/officeDocument/2006/relationships/revisionLog" Target="revisionLog229.xml"/><Relationship Id="rId102" Type="http://schemas.openxmlformats.org/officeDocument/2006/relationships/revisionLog" Target="revisionLog10.xml"/><Relationship Id="rId123" Type="http://schemas.openxmlformats.org/officeDocument/2006/relationships/revisionLog" Target="revisionLog33.xml"/><Relationship Id="rId144" Type="http://schemas.openxmlformats.org/officeDocument/2006/relationships/revisionLog" Target="revisionLog54.xml"/><Relationship Id="rId330" Type="http://schemas.openxmlformats.org/officeDocument/2006/relationships/revisionLog" Target="revisionLog240.xml"/><Relationship Id="rId165" Type="http://schemas.openxmlformats.org/officeDocument/2006/relationships/revisionLog" Target="revisionLog75.xml"/><Relationship Id="rId186" Type="http://schemas.openxmlformats.org/officeDocument/2006/relationships/revisionLog" Target="revisionLog96.xml"/><Relationship Id="rId351" Type="http://schemas.openxmlformats.org/officeDocument/2006/relationships/revisionLog" Target="revisionLog261.xml"/><Relationship Id="rId372" Type="http://schemas.openxmlformats.org/officeDocument/2006/relationships/revisionLog" Target="revisionLog282.xml"/><Relationship Id="rId211" Type="http://schemas.openxmlformats.org/officeDocument/2006/relationships/revisionLog" Target="revisionLog121.xml"/><Relationship Id="rId232" Type="http://schemas.openxmlformats.org/officeDocument/2006/relationships/revisionLog" Target="revisionLog142.xml"/><Relationship Id="rId253" Type="http://schemas.openxmlformats.org/officeDocument/2006/relationships/revisionLog" Target="revisionLog163.xml"/><Relationship Id="rId274" Type="http://schemas.openxmlformats.org/officeDocument/2006/relationships/revisionLog" Target="revisionLog184.xml"/><Relationship Id="rId295" Type="http://schemas.openxmlformats.org/officeDocument/2006/relationships/revisionLog" Target="revisionLog205.xml"/><Relationship Id="rId309" Type="http://schemas.openxmlformats.org/officeDocument/2006/relationships/revisionLog" Target="revisionLog219.xml"/><Relationship Id="rId113" Type="http://schemas.openxmlformats.org/officeDocument/2006/relationships/revisionLog" Target="revisionLog23.xml"/><Relationship Id="rId134" Type="http://schemas.openxmlformats.org/officeDocument/2006/relationships/revisionLog" Target="revisionLog44.xml"/><Relationship Id="rId320" Type="http://schemas.openxmlformats.org/officeDocument/2006/relationships/revisionLog" Target="revisionLog230.xml"/><Relationship Id="rId155" Type="http://schemas.openxmlformats.org/officeDocument/2006/relationships/revisionLog" Target="revisionLog65.xml"/><Relationship Id="rId176" Type="http://schemas.openxmlformats.org/officeDocument/2006/relationships/revisionLog" Target="revisionLog86.xml"/><Relationship Id="rId197" Type="http://schemas.openxmlformats.org/officeDocument/2006/relationships/revisionLog" Target="revisionLog107.xml"/><Relationship Id="rId341" Type="http://schemas.openxmlformats.org/officeDocument/2006/relationships/revisionLog" Target="revisionLog251.xml"/><Relationship Id="rId362" Type="http://schemas.openxmlformats.org/officeDocument/2006/relationships/revisionLog" Target="revisionLog272.xml"/><Relationship Id="rId201" Type="http://schemas.openxmlformats.org/officeDocument/2006/relationships/revisionLog" Target="revisionLog111.xml"/><Relationship Id="rId222" Type="http://schemas.openxmlformats.org/officeDocument/2006/relationships/revisionLog" Target="revisionLog132.xml"/><Relationship Id="rId243" Type="http://schemas.openxmlformats.org/officeDocument/2006/relationships/revisionLog" Target="revisionLog153.xml"/><Relationship Id="rId264" Type="http://schemas.openxmlformats.org/officeDocument/2006/relationships/revisionLog" Target="revisionLog174.xml"/><Relationship Id="rId285" Type="http://schemas.openxmlformats.org/officeDocument/2006/relationships/revisionLog" Target="revisionLog195.xml"/><Relationship Id="rId103" Type="http://schemas.openxmlformats.org/officeDocument/2006/relationships/revisionLog" Target="revisionLog13.xml"/><Relationship Id="rId124" Type="http://schemas.openxmlformats.org/officeDocument/2006/relationships/revisionLog" Target="revisionLog34.xml"/><Relationship Id="rId310" Type="http://schemas.openxmlformats.org/officeDocument/2006/relationships/revisionLog" Target="revisionLog220.xml"/><Relationship Id="rId91" Type="http://schemas.openxmlformats.org/officeDocument/2006/relationships/revisionLog" Target="revisionLog11.xml"/><Relationship Id="rId145" Type="http://schemas.openxmlformats.org/officeDocument/2006/relationships/revisionLog" Target="revisionLog55.xml"/><Relationship Id="rId166" Type="http://schemas.openxmlformats.org/officeDocument/2006/relationships/revisionLog" Target="revisionLog76.xml"/><Relationship Id="rId187" Type="http://schemas.openxmlformats.org/officeDocument/2006/relationships/revisionLog" Target="revisionLog97.xml"/><Relationship Id="rId331" Type="http://schemas.openxmlformats.org/officeDocument/2006/relationships/revisionLog" Target="revisionLog241.xml"/><Relationship Id="rId352" Type="http://schemas.openxmlformats.org/officeDocument/2006/relationships/revisionLog" Target="revisionLog262.xml"/><Relationship Id="rId373" Type="http://schemas.openxmlformats.org/officeDocument/2006/relationships/revisionLog" Target="revisionLog283.xml"/><Relationship Id="rId212" Type="http://schemas.openxmlformats.org/officeDocument/2006/relationships/revisionLog" Target="revisionLog122.xml"/><Relationship Id="rId233" Type="http://schemas.openxmlformats.org/officeDocument/2006/relationships/revisionLog" Target="revisionLog143.xml"/><Relationship Id="rId254" Type="http://schemas.openxmlformats.org/officeDocument/2006/relationships/revisionLog" Target="revisionLog164.xml"/><Relationship Id="rId114" Type="http://schemas.openxmlformats.org/officeDocument/2006/relationships/revisionLog" Target="revisionLog24.xml"/><Relationship Id="rId275" Type="http://schemas.openxmlformats.org/officeDocument/2006/relationships/revisionLog" Target="revisionLog185.xml"/><Relationship Id="rId296" Type="http://schemas.openxmlformats.org/officeDocument/2006/relationships/revisionLog" Target="revisionLog206.xml"/><Relationship Id="rId300" Type="http://schemas.openxmlformats.org/officeDocument/2006/relationships/revisionLog" Target="revisionLog210.xml"/><Relationship Id="rId135" Type="http://schemas.openxmlformats.org/officeDocument/2006/relationships/revisionLog" Target="revisionLog45.xml"/><Relationship Id="rId156" Type="http://schemas.openxmlformats.org/officeDocument/2006/relationships/revisionLog" Target="revisionLog66.xml"/><Relationship Id="rId177" Type="http://schemas.openxmlformats.org/officeDocument/2006/relationships/revisionLog" Target="revisionLog87.xml"/><Relationship Id="rId198" Type="http://schemas.openxmlformats.org/officeDocument/2006/relationships/revisionLog" Target="revisionLog108.xml"/><Relationship Id="rId321" Type="http://schemas.openxmlformats.org/officeDocument/2006/relationships/revisionLog" Target="revisionLog231.xml"/><Relationship Id="rId342" Type="http://schemas.openxmlformats.org/officeDocument/2006/relationships/revisionLog" Target="revisionLog252.xml"/><Relationship Id="rId363" Type="http://schemas.openxmlformats.org/officeDocument/2006/relationships/revisionLog" Target="revisionLog273.xml"/><Relationship Id="rId202" Type="http://schemas.openxmlformats.org/officeDocument/2006/relationships/revisionLog" Target="revisionLog112.xml"/><Relationship Id="rId223" Type="http://schemas.openxmlformats.org/officeDocument/2006/relationships/revisionLog" Target="revisionLog133.xml"/><Relationship Id="rId244" Type="http://schemas.openxmlformats.org/officeDocument/2006/relationships/revisionLog" Target="revisionLog154.xml"/><Relationship Id="rId265" Type="http://schemas.openxmlformats.org/officeDocument/2006/relationships/revisionLog" Target="revisionLog175.xml"/><Relationship Id="rId286" Type="http://schemas.openxmlformats.org/officeDocument/2006/relationships/revisionLog" Target="revisionLog196.xml"/><Relationship Id="rId104" Type="http://schemas.openxmlformats.org/officeDocument/2006/relationships/revisionLog" Target="revisionLog14.xml"/><Relationship Id="rId125" Type="http://schemas.openxmlformats.org/officeDocument/2006/relationships/revisionLog" Target="revisionLog35.xml"/><Relationship Id="rId146" Type="http://schemas.openxmlformats.org/officeDocument/2006/relationships/revisionLog" Target="revisionLog56.xml"/><Relationship Id="rId167" Type="http://schemas.openxmlformats.org/officeDocument/2006/relationships/revisionLog" Target="revisionLog77.xml"/><Relationship Id="rId188" Type="http://schemas.openxmlformats.org/officeDocument/2006/relationships/revisionLog" Target="revisionLog98.xml"/><Relationship Id="rId311" Type="http://schemas.openxmlformats.org/officeDocument/2006/relationships/revisionLog" Target="revisionLog221.xml"/><Relationship Id="rId332" Type="http://schemas.openxmlformats.org/officeDocument/2006/relationships/revisionLog" Target="revisionLog242.xml"/><Relationship Id="rId353" Type="http://schemas.openxmlformats.org/officeDocument/2006/relationships/revisionLog" Target="revisionLog263.xml"/><Relationship Id="rId374" Type="http://schemas.openxmlformats.org/officeDocument/2006/relationships/revisionLog" Target="revisionLog284.xml"/><Relationship Id="rId92" Type="http://schemas.openxmlformats.org/officeDocument/2006/relationships/revisionLog" Target="revisionLog12.xml"/><Relationship Id="rId213" Type="http://schemas.openxmlformats.org/officeDocument/2006/relationships/revisionLog" Target="revisionLog123.xml"/><Relationship Id="rId234" Type="http://schemas.openxmlformats.org/officeDocument/2006/relationships/revisionLog" Target="revisionLog144.xml"/><Relationship Id="rId255" Type="http://schemas.openxmlformats.org/officeDocument/2006/relationships/revisionLog" Target="revisionLog165.xml"/><Relationship Id="rId276" Type="http://schemas.openxmlformats.org/officeDocument/2006/relationships/revisionLog" Target="revisionLog186.xml"/><Relationship Id="rId297" Type="http://schemas.openxmlformats.org/officeDocument/2006/relationships/revisionLog" Target="revisionLog207.xml"/><Relationship Id="rId115" Type="http://schemas.openxmlformats.org/officeDocument/2006/relationships/revisionLog" Target="revisionLog25.xml"/><Relationship Id="rId136" Type="http://schemas.openxmlformats.org/officeDocument/2006/relationships/revisionLog" Target="revisionLog46.xml"/><Relationship Id="rId157" Type="http://schemas.openxmlformats.org/officeDocument/2006/relationships/revisionLog" Target="revisionLog67.xml"/><Relationship Id="rId178" Type="http://schemas.openxmlformats.org/officeDocument/2006/relationships/revisionLog" Target="revisionLog88.xml"/><Relationship Id="rId301" Type="http://schemas.openxmlformats.org/officeDocument/2006/relationships/revisionLog" Target="revisionLog211.xml"/><Relationship Id="rId322" Type="http://schemas.openxmlformats.org/officeDocument/2006/relationships/revisionLog" Target="revisionLog232.xml"/><Relationship Id="rId343" Type="http://schemas.openxmlformats.org/officeDocument/2006/relationships/revisionLog" Target="revisionLog253.xml"/><Relationship Id="rId364" Type="http://schemas.openxmlformats.org/officeDocument/2006/relationships/revisionLog" Target="revisionLog274.xml"/><Relationship Id="rId199" Type="http://schemas.openxmlformats.org/officeDocument/2006/relationships/revisionLog" Target="revisionLog109.xml"/><Relationship Id="rId203" Type="http://schemas.openxmlformats.org/officeDocument/2006/relationships/revisionLog" Target="revisionLog113.xml"/><Relationship Id="rId224" Type="http://schemas.openxmlformats.org/officeDocument/2006/relationships/revisionLog" Target="revisionLog134.xml"/><Relationship Id="rId245" Type="http://schemas.openxmlformats.org/officeDocument/2006/relationships/revisionLog" Target="revisionLog155.xml"/><Relationship Id="rId266" Type="http://schemas.openxmlformats.org/officeDocument/2006/relationships/revisionLog" Target="revisionLog176.xml"/><Relationship Id="rId287" Type="http://schemas.openxmlformats.org/officeDocument/2006/relationships/revisionLog" Target="revisionLog197.xml"/><Relationship Id="rId105" Type="http://schemas.openxmlformats.org/officeDocument/2006/relationships/revisionLog" Target="revisionLog15.xml"/><Relationship Id="rId126" Type="http://schemas.openxmlformats.org/officeDocument/2006/relationships/revisionLog" Target="revisionLog36.xml"/><Relationship Id="rId147" Type="http://schemas.openxmlformats.org/officeDocument/2006/relationships/revisionLog" Target="revisionLog57.xml"/><Relationship Id="rId168" Type="http://schemas.openxmlformats.org/officeDocument/2006/relationships/revisionLog" Target="revisionLog78.xml"/><Relationship Id="rId312" Type="http://schemas.openxmlformats.org/officeDocument/2006/relationships/revisionLog" Target="revisionLog222.xml"/><Relationship Id="rId333" Type="http://schemas.openxmlformats.org/officeDocument/2006/relationships/revisionLog" Target="revisionLog243.xml"/><Relationship Id="rId354" Type="http://schemas.openxmlformats.org/officeDocument/2006/relationships/revisionLog" Target="revisionLog264.xml"/><Relationship Id="rId93" Type="http://schemas.openxmlformats.org/officeDocument/2006/relationships/revisionLog" Target="revisionLog1.xml"/><Relationship Id="rId189" Type="http://schemas.openxmlformats.org/officeDocument/2006/relationships/revisionLog" Target="revisionLog99.xml"/><Relationship Id="rId375" Type="http://schemas.openxmlformats.org/officeDocument/2006/relationships/revisionLog" Target="revisionLog285.xml"/><Relationship Id="rId214" Type="http://schemas.openxmlformats.org/officeDocument/2006/relationships/revisionLog" Target="revisionLog124.xml"/><Relationship Id="rId235" Type="http://schemas.openxmlformats.org/officeDocument/2006/relationships/revisionLog" Target="revisionLog145.xml"/><Relationship Id="rId256" Type="http://schemas.openxmlformats.org/officeDocument/2006/relationships/revisionLog" Target="revisionLog166.xml"/><Relationship Id="rId277" Type="http://schemas.openxmlformats.org/officeDocument/2006/relationships/revisionLog" Target="revisionLog187.xml"/><Relationship Id="rId298" Type="http://schemas.openxmlformats.org/officeDocument/2006/relationships/revisionLog" Target="revisionLog208.xml"/><Relationship Id="rId116" Type="http://schemas.openxmlformats.org/officeDocument/2006/relationships/revisionLog" Target="revisionLog26.xml"/><Relationship Id="rId137" Type="http://schemas.openxmlformats.org/officeDocument/2006/relationships/revisionLog" Target="revisionLog47.xml"/><Relationship Id="rId158" Type="http://schemas.openxmlformats.org/officeDocument/2006/relationships/revisionLog" Target="revisionLog68.xml"/><Relationship Id="rId302" Type="http://schemas.openxmlformats.org/officeDocument/2006/relationships/revisionLog" Target="revisionLog212.xml"/><Relationship Id="rId323" Type="http://schemas.openxmlformats.org/officeDocument/2006/relationships/revisionLog" Target="revisionLog233.xml"/><Relationship Id="rId344" Type="http://schemas.openxmlformats.org/officeDocument/2006/relationships/revisionLog" Target="revisionLog254.xml"/><Relationship Id="rId179" Type="http://schemas.openxmlformats.org/officeDocument/2006/relationships/revisionLog" Target="revisionLog89.xml"/><Relationship Id="rId365" Type="http://schemas.openxmlformats.org/officeDocument/2006/relationships/revisionLog" Target="revisionLog275.xml"/><Relationship Id="rId190" Type="http://schemas.openxmlformats.org/officeDocument/2006/relationships/revisionLog" Target="revisionLog100.xml"/><Relationship Id="rId204" Type="http://schemas.openxmlformats.org/officeDocument/2006/relationships/revisionLog" Target="revisionLog114.xml"/><Relationship Id="rId225" Type="http://schemas.openxmlformats.org/officeDocument/2006/relationships/revisionLog" Target="revisionLog135.xml"/><Relationship Id="rId246" Type="http://schemas.openxmlformats.org/officeDocument/2006/relationships/revisionLog" Target="revisionLog156.xml"/><Relationship Id="rId267" Type="http://schemas.openxmlformats.org/officeDocument/2006/relationships/revisionLog" Target="revisionLog177.xml"/><Relationship Id="rId288" Type="http://schemas.openxmlformats.org/officeDocument/2006/relationships/revisionLog" Target="revisionLog198.xml"/><Relationship Id="rId106" Type="http://schemas.openxmlformats.org/officeDocument/2006/relationships/revisionLog" Target="revisionLog16.xml"/><Relationship Id="rId127" Type="http://schemas.openxmlformats.org/officeDocument/2006/relationships/revisionLog" Target="revisionLog37.xml"/><Relationship Id="rId313" Type="http://schemas.openxmlformats.org/officeDocument/2006/relationships/revisionLog" Target="revisionLog223.xml"/><Relationship Id="rId94" Type="http://schemas.openxmlformats.org/officeDocument/2006/relationships/revisionLog" Target="revisionLog2.xml"/><Relationship Id="rId148" Type="http://schemas.openxmlformats.org/officeDocument/2006/relationships/revisionLog" Target="revisionLog58.xml"/><Relationship Id="rId169" Type="http://schemas.openxmlformats.org/officeDocument/2006/relationships/revisionLog" Target="revisionLog79.xml"/><Relationship Id="rId334" Type="http://schemas.openxmlformats.org/officeDocument/2006/relationships/revisionLog" Target="revisionLog244.xml"/><Relationship Id="rId355" Type="http://schemas.openxmlformats.org/officeDocument/2006/relationships/revisionLog" Target="revisionLog265.xml"/><Relationship Id="rId376" Type="http://schemas.openxmlformats.org/officeDocument/2006/relationships/revisionLog" Target="revisionLog286.xml"/><Relationship Id="rId180" Type="http://schemas.openxmlformats.org/officeDocument/2006/relationships/revisionLog" Target="revisionLog90.xml"/><Relationship Id="rId215" Type="http://schemas.openxmlformats.org/officeDocument/2006/relationships/revisionLog" Target="revisionLog125.xml"/><Relationship Id="rId236" Type="http://schemas.openxmlformats.org/officeDocument/2006/relationships/revisionLog" Target="revisionLog146.xml"/><Relationship Id="rId257" Type="http://schemas.openxmlformats.org/officeDocument/2006/relationships/revisionLog" Target="revisionLog167.xml"/><Relationship Id="rId278" Type="http://schemas.openxmlformats.org/officeDocument/2006/relationships/revisionLog" Target="revisionLog188.xml"/><Relationship Id="rId303" Type="http://schemas.openxmlformats.org/officeDocument/2006/relationships/revisionLog" Target="revisionLog213.xml"/><Relationship Id="rId138" Type="http://schemas.openxmlformats.org/officeDocument/2006/relationships/revisionLog" Target="revisionLog48.xml"/><Relationship Id="rId345" Type="http://schemas.openxmlformats.org/officeDocument/2006/relationships/revisionLog" Target="revisionLog255.xml"/><Relationship Id="rId191" Type="http://schemas.openxmlformats.org/officeDocument/2006/relationships/revisionLog" Target="revisionLog101.xml"/><Relationship Id="rId205" Type="http://schemas.openxmlformats.org/officeDocument/2006/relationships/revisionLog" Target="revisionLog115.xml"/><Relationship Id="rId247" Type="http://schemas.openxmlformats.org/officeDocument/2006/relationships/revisionLog" Target="revisionLog157.xml"/><Relationship Id="rId107" Type="http://schemas.openxmlformats.org/officeDocument/2006/relationships/revisionLog" Target="revisionLog17.xml"/><Relationship Id="rId289" Type="http://schemas.openxmlformats.org/officeDocument/2006/relationships/revisionLog" Target="revisionLog199.xml"/><Relationship Id="rId149" Type="http://schemas.openxmlformats.org/officeDocument/2006/relationships/revisionLog" Target="revisionLog59.xml"/><Relationship Id="rId314" Type="http://schemas.openxmlformats.org/officeDocument/2006/relationships/revisionLog" Target="revisionLog224.xml"/><Relationship Id="rId356" Type="http://schemas.openxmlformats.org/officeDocument/2006/relationships/revisionLog" Target="revisionLog266.xml"/><Relationship Id="rId95" Type="http://schemas.openxmlformats.org/officeDocument/2006/relationships/revisionLog" Target="revisionLog3.xml"/><Relationship Id="rId160" Type="http://schemas.openxmlformats.org/officeDocument/2006/relationships/revisionLog" Target="revisionLog70.xml"/><Relationship Id="rId216" Type="http://schemas.openxmlformats.org/officeDocument/2006/relationships/revisionLog" Target="revisionLog126.xml"/><Relationship Id="rId258" Type="http://schemas.openxmlformats.org/officeDocument/2006/relationships/revisionLog" Target="revisionLog168.xml"/><Relationship Id="rId118" Type="http://schemas.openxmlformats.org/officeDocument/2006/relationships/revisionLog" Target="revisionLog28.xml"/><Relationship Id="rId325" Type="http://schemas.openxmlformats.org/officeDocument/2006/relationships/revisionLog" Target="revisionLog235.xml"/><Relationship Id="rId367" Type="http://schemas.openxmlformats.org/officeDocument/2006/relationships/revisionLog" Target="revisionLog277.xml"/><Relationship Id="rId171" Type="http://schemas.openxmlformats.org/officeDocument/2006/relationships/revisionLog" Target="revisionLog81.xml"/><Relationship Id="rId227" Type="http://schemas.openxmlformats.org/officeDocument/2006/relationships/revisionLog" Target="revisionLog137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DCCCDD06-EAD8-4F44-BD4E-02FCE9653084}" diskRevisions="1" revisionId="4985" version="2" protected="1">
  <header guid="{605F9F87-7F30-446F-B832-A93E618A0A41}" dateTime="2021-02-25T00:31:56" maxSheetId="16" userName="Andre A. Le Grange" r:id="rId91" minRId="2735" maxRId="2743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615C0B51-B662-4C4A-8121-27774F1A42DF}" dateTime="2022-02-28T12:54:12" maxSheetId="16" userName="Andre A. Le Grange" r:id="rId92" minRId="2744" maxRId="2745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12120825-CA47-4909-9968-A36FEA9A72C2}" dateTime="2023-03-06T12:31:09" maxSheetId="16" userName="Andre A. Le Grange" r:id="rId93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9A210514-655F-4B9C-813E-C336E1F97BEB}" dateTime="2023-03-07T15:21:34" maxSheetId="16" userName="Andre A. Le Grange" r:id="rId94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DF298417-3752-42EC-B93F-7190375C8703}" dateTime="2023-03-07T15:22:08" maxSheetId="16" userName="Andre A. Le Grange" r:id="rId95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78805B4C-F922-4821-811F-DE8450D80D6C}" dateTime="2023-03-07T15:22:46" maxSheetId="16" userName="Andre A. Le Grange" r:id="rId96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B97B9F56-421B-4510-8828-3981ABDE24ED}" dateTime="2023-03-07T15:24:37" maxSheetId="16" userName="Andre A. Le Grange" r:id="rId97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DD93E995-40D0-466C-BD6E-4763FD9B63F8}" dateTime="2023-03-07T15:59:03" maxSheetId="16" userName="Andre A. Le Grange" r:id="rId98" minRId="2769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71E4C946-9CBD-4C63-AEE5-BD842149B9ED}" dateTime="2023-03-07T16:08:34" maxSheetId="16" userName="Andre A. Le Grange" r:id="rId99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1C96A3EA-B2B0-4BD9-940A-C788F3AA03FA}" dateTime="2023-03-08T11:09:54" maxSheetId="16" userName="Andre A. Le Grange" r:id="rId100" minRId="2770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DA20CD83-3DE1-489D-A139-1F2BA2F7DBE8}" dateTime="2023-03-08T11:16:35" maxSheetId="16" userName="Andre A. Le Grange" r:id="rId101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BE3831D3-9F1C-40EA-B726-E99809485D50}" dateTime="2023-03-08T11:27:12" maxSheetId="16" userName="Andre A. Le Grange" r:id="rId102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0E9098AA-EF85-47E6-B1FB-C4359F8C22E6}" dateTime="2023-03-08T11:30:24" maxSheetId="16" userName="Andre A. Le Grange" r:id="rId103" minRId="2771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FDF8C049-B716-4DE7-ACD8-21F189A09DE5}" dateTime="2023-03-08T11:30:52" maxSheetId="16" userName="Andre A. Le Grange" r:id="rId104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E41DFF87-2A5E-4821-BFA3-C78A8232F253}" dateTime="2023-03-08T11:31:24" maxSheetId="16" userName="Andre A. Le Grange" r:id="rId105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DA1A1386-54B6-4848-8478-63E3FE47D6F8}" dateTime="2023-03-08T11:45:40" maxSheetId="16" userName="Andre A. Le Grange" r:id="rId106" minRId="2772" maxRId="2774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91A967A3-532A-4558-8402-C23C2354EF7E}" dateTime="2023-03-08T11:51:55" maxSheetId="16" userName="Andre A. Le Grange" r:id="rId107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5B08182A-1369-44D7-81C7-19FBDC533FAB}" dateTime="2023-03-08T11:54:48" maxSheetId="16" userName="Andre A. Le Grange" r:id="rId108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304779AC-1802-4A7E-AEAB-F1E8F860F962}" dateTime="2023-03-08T12:11:27" maxSheetId="16" userName="Andre A. Le Grange" r:id="rId109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A059A363-9C12-4D87-898C-BE8FE3A478E8}" dateTime="2023-03-08T12:12:27" maxSheetId="16" userName="Andre A. Le Grange" r:id="rId110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B244930A-5C76-433B-86A9-6168CF9B546E}" dateTime="2023-03-08T12:13:21" maxSheetId="16" userName="Andre A. Le Grange" r:id="rId111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7F058E8E-CB1F-4671-8733-9D38E7D57752}" dateTime="2023-03-08T12:25:55" maxSheetId="16" userName="Andre A. Le Grange" r:id="rId112" minRId="2775" maxRId="2787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7708D29E-0212-4E22-8CDE-ADFEDAB636CC}" dateTime="2023-03-08T12:35:17" maxSheetId="16" userName="Andre A. Le Grange" r:id="rId113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2F2D57D5-B8C9-4460-8196-B8810D8B2441}" dateTime="2023-03-08T12:43:26" maxSheetId="16" userName="Andre A. Le Grange" r:id="rId114" minRId="2788" maxRId="2789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DEF8095C-8190-411F-AC09-CE76219F68AC}" dateTime="2023-03-10T11:27:46" maxSheetId="16" userName="Andre A. Le Grange" r:id="rId115" minRId="2790" maxRId="2809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C8E5882D-82CB-4A97-B852-6D23E5D8D9D3}" dateTime="2023-03-10T12:09:15" maxSheetId="16" userName="Andre A. Le Grange" r:id="rId116" minRId="2834" maxRId="2844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D8E8CFF2-1C7C-4BBE-BA47-E3BAB06546BC}" dateTime="2023-03-10T12:11:17" maxSheetId="16" userName="Andre A. Le Grange" r:id="rId117" minRId="2845" maxRId="2867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90C33BD9-2366-4876-8172-92E31DD604A8}" dateTime="2023-03-10T12:13:24" maxSheetId="16" userName="Andre A. Le Grange" r:id="rId118" minRId="2868" maxRId="2888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8AB25105-5AE0-4EE6-A572-EAD895F6C318}" dateTime="2023-03-10T12:15:04" maxSheetId="16" userName="Andre A. Le Grange" r:id="rId119" minRId="2889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AC8A2B70-933F-4DCE-B70B-475F6EA1A691}" dateTime="2023-03-10T12:21:53" maxSheetId="16" userName="Andre A. Le Grange" r:id="rId120" minRId="2890" maxRId="2935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F4D0C692-0D99-4731-8877-5D178F2BF06B}" dateTime="2023-03-10T12:40:04" maxSheetId="16" userName="Andre A. Le Grange" r:id="rId121" minRId="2960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C12B6E7E-C004-4174-8834-6C9A65DF8799}" dateTime="2023-03-10T12:40:37" maxSheetId="16" userName="Andre A. Le Grange" r:id="rId122" minRId="2961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C6E09BFB-1E7E-46ED-AF18-A48FEEFA27C3}" dateTime="2023-03-13T10:11:55" maxSheetId="16" userName="Andre A. Le Grange" r:id="rId123" minRId="2962" maxRId="2983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20C0A1D1-BC9E-429E-BD68-B9A1D308898E}" dateTime="2023-03-13T10:16:56" maxSheetId="16" userName="Andre A. Le Grange" r:id="rId124" minRId="2984" maxRId="3032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33574046-7AE7-47CE-B3AC-6DC76CE351F9}" dateTime="2023-03-13T10:37:44" maxSheetId="16" userName="Andre A. Le Grange" r:id="rId125" minRId="3033" maxRId="3037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8FCC2A01-FBF6-4935-B7A5-DB702E8DB0C8}" dateTime="2023-03-13T10:52:09" maxSheetId="16" userName="Andre A. Le Grange" r:id="rId126" minRId="3038" maxRId="3043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746E80A6-D746-42B9-821E-66DF2A44717B}" dateTime="2023-03-13T10:54:58" maxSheetId="16" userName="Andre A. Le Grange" r:id="rId127" minRId="3044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E2C18C9E-1690-41AE-A4AA-F4B1CF6F370D}" dateTime="2023-03-13T11:00:27" maxSheetId="16" userName="Andre A. Le Grange" r:id="rId128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3A912CB5-9F4A-440C-9FB5-05C9019793E1}" dateTime="2023-03-13T11:00:44" maxSheetId="16" userName="Andre A. Le Grange" r:id="rId129" minRId="3045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FFCAC989-B7B2-4047-A9EF-36C1A4C47E58}" dateTime="2023-03-13T11:31:20" maxSheetId="16" userName="Andre A. Le Grange" r:id="rId130" minRId="3046" maxRId="3051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EDDE2E2A-85B9-416E-8D78-46854D8A5728}" dateTime="2023-03-13T11:34:40" maxSheetId="16" userName="Andre A. Le Grange" r:id="rId131" minRId="3052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F23F1950-80DE-4CDB-B62A-29834E4FADC7}" dateTime="2023-03-13T11:37:16" maxSheetId="16" userName="Andre A. Le Grange" r:id="rId132" minRId="3053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F431D369-D5EA-443B-AAD1-E2A6ED0DB4DF}" dateTime="2023-03-13T11:37:52" maxSheetId="16" userName="Andre A. Le Grange" r:id="rId133" minRId="3054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0715EBE1-97E6-49A9-B21D-1454CCA5E0D5}" dateTime="2023-03-13T11:44:32" maxSheetId="16" userName="Andre A. Le Grange" r:id="rId134" minRId="3055" maxRId="3056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91C47921-D288-4827-BF9B-F9CDFA8DA86D}" dateTime="2023-03-13T15:06:29" maxSheetId="16" userName="Andre A. Le Grange" r:id="rId135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CD6F3F9B-A2D0-4D9F-8594-B446BF6982F6}" dateTime="2023-03-13T15:07:10" maxSheetId="16" userName="Andre A. Le Grange" r:id="rId136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9D64F70E-5F32-4C84-AA85-7BC5956FB30B}" dateTime="2023-03-13T15:10:15" maxSheetId="16" userName="Andre A. Le Grange" r:id="rId137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634E6DF8-1734-4098-BCB9-A147A5E2D772}" dateTime="2023-03-13T15:12:27" maxSheetId="16" userName="Andre A. Le Grange" r:id="rId138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D80D8C66-142F-4986-BDBE-D520186F969B}" dateTime="2023-03-13T15:18:47" maxSheetId="16" userName="Andre A. Le Grange" r:id="rId139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0B0CCA69-C502-4F0B-9AC8-AB49B238B7BE}" dateTime="2023-03-13T15:51:52" maxSheetId="16" userName="Andre A. Le Grange" r:id="rId140" minRId="3057" maxRId="3058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9FFF4FBB-65AB-4C2B-9CDE-3EA0156DEF6E}" dateTime="2023-03-13T15:58:43" maxSheetId="16" userName="Andre A. Le Grange" r:id="rId141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EDA88BEC-CDF2-4E17-9FD7-7AB4A9AB539E}" dateTime="2023-03-13T16:00:17" maxSheetId="16" userName="Andre A. Le Grange" r:id="rId142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8FA77861-89EC-4AAC-AA35-6B185D3E5A21}" dateTime="2023-03-13T16:02:48" maxSheetId="16" userName="Andre A. Le Grange" r:id="rId143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B6EEBA3B-4B50-4953-8F32-FEEA19A01BD4}" dateTime="2023-03-13T16:07:55" maxSheetId="16" userName="Andre A. Le Grange" r:id="rId144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DBA09697-2DAF-4584-8DCA-AFB1B4C1AC9A}" dateTime="2023-03-13T16:23:25" maxSheetId="16" userName="Andre A. Le Grange" r:id="rId145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64AF0450-B4F9-4A05-A07D-EC4E82CE6745}" dateTime="2023-03-13T16:26:56" maxSheetId="16" userName="Andre A. Le Grange" r:id="rId146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8B8CD2DF-9D9C-4AD3-ABDE-5AB0189BE8F8}" dateTime="2023-03-14T22:55:56" maxSheetId="16" userName="Andre A. Le Grange" r:id="rId147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968688BA-2BAB-43A8-82A6-63648B681B9C}" dateTime="2023-03-14T23:04:33" maxSheetId="16" userName="Andre A. Le Grange" r:id="rId148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27237BE5-A891-48FB-8A8D-6A5D2AF3EE55}" dateTime="2023-03-14T23:09:05" maxSheetId="16" userName="Andre A. Le Grange" r:id="rId149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3F7A88CB-5E59-4703-9990-A9E027E27756}" dateTime="2023-03-14T23:21:30" maxSheetId="16" userName="Andre A. Le Grange" r:id="rId150" minRId="3059" maxRId="3066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40B17A70-C221-4216-8E15-BA30F64FC8CF}" dateTime="2023-03-14T23:24:28" maxSheetId="16" userName="Andre A. Le Grange" r:id="rId151" minRId="3067" maxRId="3069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178F6DD2-AD32-445F-A9D3-7D2D2846F7EF}" dateTime="2023-03-14T23:33:54" maxSheetId="16" userName="Andre A. Le Grange" r:id="rId152" minRId="3070" maxRId="3084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95526E84-2211-48E1-A349-AB42314E453B}" dateTime="2023-03-14T23:43:01" maxSheetId="16" userName="Andre A. Le Grange" r:id="rId153" minRId="3109" maxRId="3112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9C46F166-C214-4CD2-9E4C-C7F91A5ACEDB}" dateTime="2023-03-14T23:44:46" maxSheetId="16" userName="Andre A. Le Grange" r:id="rId154" minRId="3113" maxRId="3124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26AF6191-9449-472C-814B-E8ED1C09DBDC}" dateTime="2023-03-14T23:46:35" maxSheetId="16" userName="Andre A. Le Grange" r:id="rId155" minRId="3125" maxRId="3135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F6C725C1-FADA-4C46-8B38-09F06714B46D}" dateTime="2023-03-14T23:47:41" maxSheetId="16" userName="Andre A. Le Grange" r:id="rId156" minRId="3136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B03A6470-38C9-4F00-9FD7-107B322E7EB6}" dateTime="2023-03-14T23:52:53" maxSheetId="16" userName="Andre A. Le Grange" r:id="rId157" minRId="3161" maxRId="3172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A7CD4DE8-287A-44FC-A83B-D8AD5B74FDCF}" dateTime="2023-03-14T23:55:34" maxSheetId="16" userName="Andre A. Le Grange" r:id="rId158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1D3258DF-5D1B-4DB2-97B8-F48857A60324}" dateTime="2023-03-15T15:07:50" maxSheetId="16" userName="Andre A. Le Grange" r:id="rId159" minRId="3198" maxRId="3199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E6F03F2B-A2C1-412F-B332-507A0F3A76D1}" dateTime="2023-03-15T15:12:06" maxSheetId="16" userName="Andre A. Le Grange" r:id="rId160" minRId="3225" maxRId="3230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834999D3-1D97-4A13-B5AD-ADC96A1F2B02}" dateTime="2023-03-15T15:14:06" maxSheetId="16" userName="Andre A. Le Grange" r:id="rId161" minRId="3231" maxRId="3232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9122EB2B-3CF8-439D-8361-8E2AB19B8DBF}" dateTime="2023-03-15T15:15:49" maxSheetId="16" userName="Andre A. Le Grange" r:id="rId162" minRId="3233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5ACF5B47-96B0-4763-A781-5F96003ADAFB}" dateTime="2023-03-15T15:25:45" maxSheetId="16" userName="Andre A. Le Grange" r:id="rId163" minRId="3234" maxRId="3237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A2D7FB92-6D5B-4A6D-A8B0-312E05474068}" dateTime="2023-03-15T15:34:37" maxSheetId="16" userName="Andre A. Le Grange" r:id="rId164" minRId="3238" maxRId="3239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0A87C861-999B-405F-BF06-B7850224E9B2}" dateTime="2023-03-15T15:36:11" maxSheetId="16" userName="Andre A. Le Grange" r:id="rId165" minRId="3240" maxRId="3242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51BFECBF-B1D8-4AF1-BD11-361F142F39D6}" dateTime="2023-03-15T15:48:52" maxSheetId="16" userName="Andre A. Le Grange" r:id="rId166" minRId="3243" maxRId="3256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72DBC3F6-C28A-4D22-B8B3-171A4BB85289}" dateTime="2023-03-15T15:52:07" maxSheetId="16" userName="Andre A. Le Grange" r:id="rId167" minRId="3257" maxRId="3269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57BFBB32-6827-4724-ADAA-5CF22D16911B}" dateTime="2023-03-15T15:53:56" maxSheetId="16" userName="Andre A. Le Grange" r:id="rId168" minRId="3270" maxRId="3273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4A64572E-4E1B-40DB-B83B-248D659E6185}" dateTime="2023-03-15T15:57:51" maxSheetId="16" userName="Andre A. Le Grange" r:id="rId169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3E5CB285-36B1-49B2-ABE9-0FD69958A23F}" dateTime="2023-03-15T16:04:02" maxSheetId="16" userName="Andre A. Le Grange" r:id="rId170" minRId="3274" maxRId="3277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30035540-AF99-4DDA-8171-1D5AB7604720}" dateTime="2023-03-15T16:08:43" maxSheetId="16" userName="Andre A. Le Grange" r:id="rId171" minRId="3278" maxRId="3279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DB6CA95F-F543-41F2-87BB-B04AAC57325D}" dateTime="2023-03-15T16:21:26" maxSheetId="16" userName="Andre A. Le Grange" r:id="rId172" minRId="3280" maxRId="3288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5D8899AE-FD54-48DB-A10A-27EDA55CD953}" dateTime="2023-03-15T16:22:27" maxSheetId="16" userName="Andre A. Le Grange" r:id="rId173" minRId="3289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BA085F2E-3438-435E-9720-282F3E2679A0}" dateTime="2023-03-15T16:24:12" maxSheetId="16" userName="Andre A. Le Grange" r:id="rId174" minRId="3290" maxRId="3291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54B5F10A-5FC4-4FD6-8926-FC03FF05A9B1}" dateTime="2023-03-15T16:25:05" maxSheetId="16" userName="Andre A. Le Grange" r:id="rId175" minRId="3292" maxRId="3293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FFAF9F8C-DF09-4704-B073-BAC98B549D4E}" dateTime="2023-03-15T16:27:16" maxSheetId="16" userName="Andre A. Le Grange" r:id="rId176" minRId="3294" maxRId="3295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04E9FD54-8B79-4DB9-B7E1-DF9FF56EB6B6}" dateTime="2023-03-15T16:29:23" maxSheetId="16" userName="Andre A. Le Grange" r:id="rId177" minRId="3296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29D6BC52-874C-481B-B7A5-F13CC16645C7}" dateTime="2023-03-15T16:32:45" maxSheetId="16" userName="Andre A. Le Grange" r:id="rId178" minRId="3297" maxRId="3298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D8C92CF2-5262-49E0-B708-08800E1FEC50}" dateTime="2023-03-15T16:35:02" maxSheetId="16" userName="Andre A. Le Grange" r:id="rId179" minRId="3299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3424DAC0-E75E-4AB1-BC11-7A344D98E1BD}" dateTime="2023-03-15T16:38:41" maxSheetId="16" userName="Andre A. Le Grange" r:id="rId180" minRId="3300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4CB2F676-437C-42FB-954C-07DBDF7481CF}" dateTime="2023-03-16T09:25:40" maxSheetId="16" userName="Andre A. Le Grange" r:id="rId181" minRId="3301" maxRId="3302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4DD7C697-D057-4421-ADF9-F836B0152ACA}" dateTime="2023-03-16T09:27:27" maxSheetId="16" userName="Andre A. Le Grange" r:id="rId182" minRId="3303" maxRId="3304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005D2A79-70C5-428A-BAEE-D20C698DF929}" dateTime="2023-03-16T09:30:12" maxSheetId="16" userName="Andre A. Le Grange" r:id="rId183" minRId="3305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FDE88EC3-4F11-4CA3-82B5-0AFB429CAED5}" dateTime="2023-03-16T09:34:09" maxSheetId="16" userName="Andre A. Le Grange" r:id="rId184" minRId="3306" maxRId="3308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313F021E-720E-46E9-A780-5FA325B5367A}" dateTime="2023-03-16T12:04:56" maxSheetId="16" userName="Andre A. Le Grange" r:id="rId185" minRId="3309" maxRId="3313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B9609D45-3BBA-4431-A46F-0219AE1882F3}" dateTime="2023-03-16T12:07:18" maxSheetId="16" userName="Andre A. Le Grange" r:id="rId186" minRId="3339" maxRId="3341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877F7996-507C-4398-80CB-3CCAE4766C54}" dateTime="2023-03-16T12:07:59" maxSheetId="16" userName="Andre A. Le Grange" r:id="rId187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3ADA8055-2EAF-4AF5-BFAD-921C71039490}" dateTime="2023-03-16T12:08:59" maxSheetId="16" userName="Andre A. Le Grange" r:id="rId188" minRId="3367" maxRId="3380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A87FC6D1-D43A-45FF-8AD4-0D56291EC82D}" dateTime="2023-03-16T12:10:34" maxSheetId="16" userName="Andre A. Le Grange" r:id="rId189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D8D458A8-4341-4EE2-99F9-9863B6CEADE5}" dateTime="2023-03-16T12:29:32" maxSheetId="16" userName="Andre A. Le Grange" r:id="rId190" minRId="3381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88A5A925-3E67-49E1-B228-4EF85A1C238A}" dateTime="2023-03-16T12:31:23" maxSheetId="16" userName="Andre A. Le Grange" r:id="rId191" minRId="3382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F6F7086E-5B84-4DBB-977D-D5BD35A5F1F8}" dateTime="2023-03-16T12:33:10" maxSheetId="16" userName="Andre A. Le Grange" r:id="rId192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2BB31F5A-66FB-4EE7-9070-84C1FD97AB4F}" dateTime="2023-03-16T12:38:04" maxSheetId="16" userName="Andre A. Le Grange" r:id="rId193" minRId="3383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EFD83A93-4AE1-471C-B33B-B93B58222934}" dateTime="2023-03-16T12:38:45" maxSheetId="16" userName="Andre A. Le Grange" r:id="rId194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429E0997-B1AC-4494-BBAA-83D7334A109E}" dateTime="2023-03-16T12:39:27" maxSheetId="16" userName="Andre A. Le Grange" r:id="rId195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9BCFB250-787D-4468-817C-AB9F30DDF04B}" dateTime="2023-03-16T12:50:52" maxSheetId="16" userName="Andre A. Le Grange" r:id="rId196" minRId="3384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7E9D721F-24F1-4FA8-A33B-F3AF311D63C4}" dateTime="2023-03-16T12:52:30" maxSheetId="16" userName="Andre A. Le Grange" r:id="rId197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E3563F35-475E-429D-B585-68459A82A4CA}" dateTime="2023-03-16T15:40:21" maxSheetId="16" userName="Andre A. Le Grange" r:id="rId198" minRId="3385" maxRId="3389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92F6F6AB-2A52-47B5-8348-0513F2ACF9E5}" dateTime="2023-03-16T15:45:25" maxSheetId="16" userName="Andre A. Le Grange" r:id="rId199" minRId="3390" maxRId="3395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AAE25779-4F0B-4A53-9360-9D0640497BA0}" dateTime="2023-03-16T15:48:58" maxSheetId="16" userName="Andre A. Le Grange" r:id="rId200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D93D6F94-9E10-4CA1-B981-685A710046B8}" dateTime="2023-03-16T15:50:35" maxSheetId="16" userName="Andre A. Le Grange" r:id="rId201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5B2AA490-7F17-48C9-BF6E-76346F532C60}" dateTime="2023-03-16T15:53:26" maxSheetId="16" userName="Andre A. Le Grange" r:id="rId202" minRId="3396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DB8E7269-2A33-46C8-A092-B2F940B75F66}" dateTime="2023-03-16T15:54:51" maxSheetId="16" userName="Andre A. Le Grange" r:id="rId203" minRId="3397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1013C22E-05C6-437D-B88C-33D81A49C915}" dateTime="2023-03-16T15:57:25" maxSheetId="16" userName="Andre A. Le Grange" r:id="rId204" minRId="3398" maxRId="3399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EE1F572B-BA3A-4E58-9214-7BE16C582E91}" dateTime="2023-03-16T15:58:09" maxSheetId="16" userName="Andre A. Le Grange" r:id="rId205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0B1C5DB9-6300-4232-9D0A-3BC3FAEBA7F1}" dateTime="2023-03-16T15:59:46" maxSheetId="16" userName="Andre A. Le Grange" r:id="rId206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A795E88D-D678-4B6B-9C47-727C9DC13A82}" dateTime="2023-03-16T16:00:58" maxSheetId="16" userName="Andre A. Le Grange" r:id="rId207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90A07269-720D-4C1C-989C-F33316A34D61}" dateTime="2023-03-16T16:01:21" maxSheetId="16" userName="Andre A. Le Grange" r:id="rId208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91E2EC7D-A52C-4708-A72B-F93430758828}" dateTime="2023-03-16T16:03:23" maxSheetId="16" userName="Andre A. Le Grange" r:id="rId209" minRId="3400" maxRId="3403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6F84F9B1-9E80-4DB0-9C6B-9FDF6F86D385}" dateTime="2023-03-16T16:21:02" maxSheetId="16" userName="Andre A. Le Grange" r:id="rId210" minRId="3404" maxRId="3406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D5826979-3C71-4742-8BA3-64EA0DFEA025}" dateTime="2023-03-16T16:24:46" maxSheetId="16" userName="Andre A. Le Grange" r:id="rId211" minRId="3407" maxRId="3409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DE920469-CAA7-4FB5-B3BD-3E6CDE8DE07D}" dateTime="2023-03-16T16:31:20" maxSheetId="16" userName="Andre A. Le Grange" r:id="rId212" minRId="3410" maxRId="3417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08215E6F-B42B-46CC-9FFC-A1AAF4C9B645}" dateTime="2023-03-16T16:33:06" maxSheetId="16" userName="Andre A. Le Grange" r:id="rId213" minRId="3418" maxRId="3420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B6BFB7FB-696D-45CB-B950-CA98F1FBF763}" dateTime="2023-03-16T16:34:32" maxSheetId="16" userName="Andre A. Le Grange" r:id="rId214" minRId="3421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BCD60BF4-37FB-4F66-8F35-4D300CFAD113}" dateTime="2023-03-16T16:36:43" maxSheetId="16" userName="Andre A. Le Grange" r:id="rId215" minRId="3422" maxRId="3425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91E1A523-C8CC-4F8C-83B7-B8C87538C644}" dateTime="2023-03-17T15:21:57" maxSheetId="16" userName="Andre A. Le Grange" r:id="rId216" minRId="3426" maxRId="3427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D2F1CF17-C00F-4C99-AD8E-76D076AA4435}" dateTime="2023-03-17T15:36:39" maxSheetId="16" userName="Andre A. Le Grange" r:id="rId217" minRId="3428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8B47C3BC-44A9-4AC6-9ED0-1176FD9DC041}" dateTime="2023-03-17T15:39:10" maxSheetId="16" userName="Andre A. Le Grange" r:id="rId218" minRId="3429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AA82AFFD-CB2E-434A-A729-3BB33BEC798F}" dateTime="2023-03-18T15:33:05" maxSheetId="16" userName="Andre A. Le Grange" r:id="rId219" minRId="3430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311A3ED4-DD3B-4A61-A978-478D499AB0B1}" dateTime="2023-03-18T15:43:08" maxSheetId="16" userName="Andre A. Le Grange" r:id="rId220" minRId="3456" maxRId="3481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E1D18E47-3386-4197-9A69-723C2A111D0D}" dateTime="2023-03-18T15:53:06" maxSheetId="16" userName="Andre A. Le Grange" r:id="rId221" minRId="3482" maxRId="3544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77C54D18-001A-44BD-8E24-439963E65816}" dateTime="2023-03-18T15:56:35" maxSheetId="16" userName="Andre A. Le Grange" r:id="rId222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48D01D6D-24F9-4653-9D5F-C606D84DA6D9}" dateTime="2023-03-18T16:37:21" maxSheetId="16" userName="Andre A. Le Grange" r:id="rId223" minRId="3570" maxRId="3599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F2BAA0E8-E278-46A2-9A77-64B2637C2C2D}" dateTime="2023-03-18T16:44:13" maxSheetId="16" userName="Andre A. Le Grange" r:id="rId224" minRId="3625" maxRId="3654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3E764D19-16B3-4D00-A534-B96C53079AAE}" dateTime="2023-03-18T22:06:06" maxSheetId="16" userName="Andre A. Le Grange" r:id="rId225" minRId="3680" maxRId="3685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6DD30CCB-B9EE-40DF-B59C-EEC4F015FB17}" dateTime="2023-03-18T22:06:59" maxSheetId="16" userName="Andre A. Le Grange" r:id="rId226" minRId="3711" maxRId="3718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774D242D-AAE3-407D-A7DB-0889D583CAD6}" dateTime="2023-03-18T22:08:13" maxSheetId="16" userName="Andre A. Le Grange" r:id="rId227" minRId="3719" maxRId="3724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0B1C6924-2824-40AB-AB95-1364BDA8328B}" dateTime="2023-03-18T22:08:52" maxSheetId="16" userName="Andre A. Le Grange" r:id="rId228" minRId="3725" maxRId="3738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1A71B412-7B60-4E4E-A72C-5C3670FAAFEE}" dateTime="2023-03-18T22:09:54" maxSheetId="16" userName="Andre A. Le Grange" r:id="rId229" minRId="3739" maxRId="3742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B7FD08FE-D5F4-41D4-AB1E-F8FCFE0F3549}" dateTime="2023-03-18T22:11:28" maxSheetId="16" userName="Andre A. Le Grange" r:id="rId230" minRId="3743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1FCFF56D-AB70-4955-97DE-77276817A948}" dateTime="2023-03-18T22:17:03" maxSheetId="16" userName="Andre A. Le Grange" r:id="rId231" minRId="3744" maxRId="3748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E4EAB232-0D1F-4488-9B31-22868B5F3240}" dateTime="2023-03-18T22:40:38" maxSheetId="16" userName="Andre A. Le Grange" r:id="rId232" minRId="3749" maxRId="3752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4F80F2E7-2E4A-4954-9A34-17B8E55E700E}" dateTime="2023-03-18T22:41:33" maxSheetId="16" userName="Andre A. Le Grange" r:id="rId233" minRId="3778" maxRId="3779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2FABA3FA-0F78-4F0F-9C07-829211EC0E29}" dateTime="2023-03-18T22:44:04" maxSheetId="16" userName="Andre A. Le Grange" r:id="rId234" minRId="3780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056ECC98-6D28-46E7-9AC0-13AE837C61FB}" dateTime="2023-03-18T22:58:47" maxSheetId="16" userName="Andre A. Le Grange" r:id="rId235" minRId="3781" maxRId="3806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7BD7B28C-FC7A-4D65-BCA8-003D1E8FFF3D}" dateTime="2023-03-18T23:07:40" maxSheetId="16" userName="Andre A. Le Grange" r:id="rId236" minRId="3832" maxRId="3834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4ED49D4E-C1F6-4F82-870F-8A4A80C0C763}" dateTime="2023-03-18T23:09:55" maxSheetId="16" userName="Andre A. Le Grange" r:id="rId237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2BB93186-8899-481D-8E05-648182358226}" dateTime="2023-03-18T23:17:36" maxSheetId="16" userName="Andre A. Le Grange" r:id="rId238" minRId="3835" maxRId="3836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A1807465-2303-47D5-94D7-E71698A8CD93}" dateTime="2023-03-18T23:36:36" maxSheetId="16" userName="Andre A. Le Grange" r:id="rId239" minRId="3837" maxRId="3887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2FA0528D-96DD-446D-B2FA-5AABDF640C94}" dateTime="2023-03-18T23:38:55" maxSheetId="16" userName="Andre A. Le Grange" r:id="rId240" minRId="3888" maxRId="3899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FC91A482-F3E7-4D41-B4E6-78066061FD4D}" dateTime="2023-03-18T23:49:55" maxSheetId="16" userName="Andre A. Le Grange" r:id="rId241" minRId="3900" maxRId="3928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54EF9F60-017D-44CE-B7C6-E36B2E2BD938}" dateTime="2023-03-19T00:01:28" maxSheetId="16" userName="Andre A. Le Grange" r:id="rId242" minRId="3929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0CB93008-91A8-4DE9-9970-1C58CAED24D4}" dateTime="2023-03-19T00:04:37" maxSheetId="16" userName="Andre A. Le Grange" r:id="rId243" minRId="3954" maxRId="4011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BEB6E0FE-F0C9-4397-8AEA-FD28918E8A9A}" dateTime="2023-03-19T00:17:22" maxSheetId="16" userName="Andre A. Le Grange" r:id="rId244" minRId="4012" maxRId="4048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7F22F236-4B80-4320-9749-FA8378109461}" dateTime="2023-03-27T16:11:42" maxSheetId="16" userName="Andre A. Le Grange" r:id="rId245" minRId="4049" maxRId="4050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25B419D2-4D10-4C69-BD8B-5066EA91F617}" dateTime="2023-03-27T16:25:11" maxSheetId="16" userName="Andre A. Le Grange" r:id="rId246" minRId="4051" maxRId="4054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A626E22C-58BB-4167-B7E7-34D2C724DCAB}" dateTime="2023-03-28T15:44:01" maxSheetId="16" userName="Andre A. Le Grange" r:id="rId247" minRId="4055" maxRId="4056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5C0BEA92-D442-412C-8193-900C3AFAB111}" dateTime="2023-03-28T15:51:19" maxSheetId="16" userName="Andre A. Le Grange" r:id="rId248" minRId="4057" maxRId="4058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317BCCE1-BBEA-4A2D-BFA1-CA06662B8D88}" dateTime="2023-03-28T15:55:19" maxSheetId="16" userName="Andre A. Le Grange" r:id="rId249" minRId="4083" maxRId="4084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12A199FA-3F1F-485D-9BB7-E8B98564BA4B}" dateTime="2023-03-28T15:56:48" maxSheetId="16" userName="Andre A. Le Grange" r:id="rId250" minRId="4085" maxRId="4086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6C5CF6C6-5DF7-4D5C-8595-2E27D17B258B}" dateTime="2023-03-28T15:58:31" maxSheetId="16" userName="Andre A. Le Grange" r:id="rId251" minRId="4087" maxRId="4088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D7CA7448-2909-452C-AFBE-31B94B2ECD11}" dateTime="2023-03-28T16:13:11" maxSheetId="16" userName="Andre A. Le Grange" r:id="rId252" minRId="4089" maxRId="4090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7A6EC3F8-3EFF-4CE9-AD24-283F3CD2CBB1}" dateTime="2023-03-28T16:24:33" maxSheetId="16" userName="Andre A. Le Grange" r:id="rId253" minRId="4091" maxRId="4092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0F446FFD-3E96-49A3-B4B0-B624AABBF5D4}" dateTime="2023-03-28T16:24:43" maxSheetId="16" userName="Andre A. Le Grange" r:id="rId254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0A47CF05-9A82-49CA-884A-6190DE962386}" dateTime="2023-03-28T16:26:40" maxSheetId="16" userName="Andre A. Le Grange" r:id="rId255" minRId="4093" maxRId="4094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80A695E2-5430-4FEB-853D-FC523B226371}" dateTime="2023-03-28T16:32:07" maxSheetId="16" userName="Andre A. Le Grange" r:id="rId256" minRId="4095" maxRId="4096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1F6AF39F-D4ED-4BEB-A2C7-2DECFF869AD0}" dateTime="2023-03-29T09:56:34" maxSheetId="16" userName="Andre A. Le Grange" r:id="rId257" minRId="4097" maxRId="4098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F92E3F13-2E06-4F95-8A24-D2349BEE9B03}" dateTime="2023-03-29T09:58:30" maxSheetId="16" userName="Andre A. Le Grange" r:id="rId258" minRId="4099" maxRId="4100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EF957810-9AF9-40AD-BA41-18267FC96BDE}" dateTime="2023-03-29T10:00:27" maxSheetId="16" userName="Andre A. Le Grange" r:id="rId259" minRId="4101" maxRId="4102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7199DB2A-C8EB-4570-A8B5-8EC1F58F1ABF}" dateTime="2023-03-29T10:06:09" maxSheetId="16" userName="Andre A. Le Grange" r:id="rId260" minRId="4103" maxRId="4104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A9917B24-1E04-4AA0-A3D2-4344580E5613}" dateTime="2023-03-29T10:08:59" maxSheetId="16" userName="Andre A. Le Grange" r:id="rId261" minRId="4105" maxRId="4106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4BE90E6E-F65F-4F33-BF15-14DA14E1DDED}" dateTime="2023-03-29T10:10:55" maxSheetId="16" userName="Andre A. Le Grange" r:id="rId262" minRId="4107" maxRId="4109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96CC13C2-E557-41C2-B693-63BABFAFEAD6}" dateTime="2023-03-29T10:11:32" maxSheetId="16" userName="Andre A. Le Grange" r:id="rId263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DC32FF7F-07B9-4BF8-8145-B47211AA0FB2}" dateTime="2023-03-29T12:48:50" maxSheetId="16" userName="Andre A. Le Grange" r:id="rId264" minRId="4110" maxRId="4111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F759DFB8-337F-4867-89FE-CF4C9897D7C5}" dateTime="2023-03-29T12:50:54" maxSheetId="16" userName="Andre A. Le Grange" r:id="rId265" minRId="4112" maxRId="4113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B9FA3A04-98EF-4077-B2FB-EA5649FF8F8C}" dateTime="2023-03-29T12:51:39" maxSheetId="16" userName="Andre A. Le Grange" r:id="rId266" minRId="4114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61E75E11-1BEA-43C9-B223-3D5434B15AB0}" dateTime="2023-03-29T12:53:13" maxSheetId="16" userName="Andre A. Le Grange" r:id="rId267" minRId="4115" maxRId="4116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B14B5CB7-8260-46F2-BC91-BAD77104AE1B}" dateTime="2023-03-29T12:53:50" maxSheetId="16" userName="Andre A. Le Grange" r:id="rId268" minRId="4117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C28AB05E-F4DF-4747-9905-75F603FD5CBF}" dateTime="2023-03-29T15:49:48" maxSheetId="16" userName="Andre A. Le Grange" r:id="rId269" minRId="4118" maxRId="4119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390C5EA7-6D2E-47CA-BECF-A637AC7C504F}" dateTime="2023-03-29T15:52:06" maxSheetId="16" userName="Andre A. Le Grange" r:id="rId270" minRId="4120" maxRId="4121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03E35787-6330-4BF8-A859-0DFCF81228E5}" dateTime="2023-03-29T15:52:41" maxSheetId="16" userName="Andre A. Le Grange" r:id="rId271" minRId="4122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64AF0502-AFED-4E9D-8423-863F1F0782F2}" dateTime="2023-03-29T15:58:26" maxSheetId="16" userName="Andre A. Le Grange" r:id="rId272" minRId="4123" maxRId="4126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C32D58E1-9C92-4341-B4C7-0DD32EDD9DAA}" dateTime="2023-03-29T16:16:31" maxSheetId="16" userName="Andre A. Le Grange" r:id="rId273" minRId="4127" maxRId="4128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9F28DB1D-7B78-4774-A990-6B40CC7F46EB}" dateTime="2024-02-29T11:48:25" maxSheetId="16" userName="Andre A. Le Grange" r:id="rId274" minRId="4129" maxRId="4146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D6E5FB3C-A634-463C-BD14-333B2890654C}" dateTime="2024-03-22T13:27:20" maxSheetId="16" userName="Andre A. Le Grange" r:id="rId275" minRId="4171" maxRId="4179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82BBB10D-63EB-4F50-9FB1-05B3C8184F1B}" dateTime="2024-03-22T13:32:27" maxSheetId="16" userName="Andre A. Le Grange" r:id="rId276" minRId="4180" maxRId="4194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48C9DCF8-88D3-4870-AC60-60B476A4266F}" dateTime="2024-03-22T13:37:17" maxSheetId="16" userName="Andre A. Le Grange" r:id="rId277" minRId="4195" maxRId="4207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D7C0EEE3-C774-4E14-BA7F-BB7139332EA9}" dateTime="2024-03-22T13:43:35" maxSheetId="16" userName="Andre A. Le Grange" r:id="rId278" minRId="4208" maxRId="4209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8EAD114D-F66E-41F9-BF5D-1F8C8422CD0E}" dateTime="2024-03-22T14:03:03" maxSheetId="16" userName="Andre A. Le Grange" r:id="rId279" minRId="4210" maxRId="4226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8D5BAFF8-80B0-4BF1-9320-F6B57B70175D}" dateTime="2024-03-22T14:08:11" maxSheetId="16" userName="Andre A. Le Grange" r:id="rId280" minRId="4227" maxRId="4241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9B63B83F-D4BF-4694-9365-41BD0A7B2A92}" dateTime="2024-04-12T12:30:07" maxSheetId="16" userName="Andre A. Le Grange" r:id="rId281" minRId="4242" maxRId="4243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4E83AEDD-6754-4FD6-8D52-D4733A7915EC}" dateTime="2024-04-12T12:40:15" maxSheetId="16" userName="Andre A. Le Grange" r:id="rId282" minRId="4244" maxRId="4254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C92AEB1A-4ECD-49C9-8678-92385FC4D34F}" dateTime="2024-04-12T12:42:59" maxSheetId="16" userName="Andre A. Le Grange" r:id="rId283" minRId="4255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8CD98395-9220-4842-923B-28F41EE4CE70}" dateTime="2024-04-12T12:44:23" maxSheetId="16" userName="Andre A. Le Grange" r:id="rId284" minRId="4256" maxRId="4259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B1C991B1-5F35-466D-A805-E4175F7813AD}" dateTime="2024-07-10T15:29:15" maxSheetId="16" userName="Andre A. Le Grange" r:id="rId285" minRId="4260" maxRId="4305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73D23D42-54F6-4E65-A9CD-098B75FA9D83}" dateTime="2024-07-10T15:30:50" maxSheetId="16" userName="Andre A. Le Grange" r:id="rId286" minRId="4306" maxRId="4311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87AC2647-2741-4A23-B1C7-EEAF7EAEC8AA}" dateTime="2024-07-10T15:33:54" maxSheetId="16" userName="Andre A. Le Grange" r:id="rId287" minRId="4312" maxRId="4318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21D38AEA-16A9-42C4-9DDD-2851310FF764}" dateTime="2024-07-11T10:04:01" maxSheetId="16" userName="Andre A. Le Grange" r:id="rId288" minRId="4319" maxRId="4347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3B13A682-9C2D-4D4B-8A1A-E397EE9EE06B}" dateTime="2024-07-11T10:15:18" maxSheetId="16" userName="Andre A. Le Grange" r:id="rId289" minRId="4348" maxRId="4363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C0E06E86-CAF9-4C1A-A1A9-79FDA56C30BA}" dateTime="2024-07-11T10:17:23" maxSheetId="16" userName="Andre A. Le Grange" r:id="rId290" minRId="4364" maxRId="4370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8081872E-B88D-40E1-A8CD-61E11710875A}" dateTime="2024-07-11T10:19:07" maxSheetId="16" userName="Andre A. Le Grange" r:id="rId291" minRId="4371" maxRId="4376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DB4428DE-F6D3-45BD-9193-3AC2B5EBA247}" dateTime="2024-07-11T10:28:41" maxSheetId="16" userName="Andre A. Le Grange" r:id="rId292" minRId="4377" maxRId="4378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02F9E803-FF4A-499D-8E93-D0CE16A1F602}" dateTime="2024-07-11T10:31:03" maxSheetId="16" userName="Andre A. Le Grange" r:id="rId293" minRId="4379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A4F1C248-0231-4450-A6C6-127BCD700C71}" dateTime="2024-07-11T11:15:32" maxSheetId="16" userName="Andre A. Le Grange" r:id="rId294" minRId="4380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10910EE6-E6BD-4B11-86B6-1F30A43A1DBD}" dateTime="2024-07-11T11:23:30" maxSheetId="16" userName="Andre A. Le Grange" r:id="rId295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CB3887DE-9975-43E6-BA10-C400076371D2}" dateTime="2025-03-11T16:04:46" maxSheetId="16" userName="Andre A. Le Grange" r:id="rId296" minRId="4405" maxRId="4419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A7D419DF-779C-4597-AC0C-03959E1B019D}" dateTime="2025-03-11T16:05:05" maxSheetId="16" userName="Andre A. Le Grange" r:id="rId297" minRId="4420" maxRId="4425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4AEC5D22-0C08-43F3-93A8-711496D96F1F}" dateTime="2025-03-11T16:10:44" maxSheetId="16" userName="Andre A. Le Grange" r:id="rId298" minRId="4426" maxRId="4431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08AEEE5B-AEE3-4B8E-9494-A9C3E40C7051}" dateTime="2025-03-11T16:22:46" maxSheetId="16" userName="Andre A. Le Grange" r:id="rId299" minRId="4432" maxRId="4476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FEBB0AA6-E819-4246-80CC-58F0B268AE7C}" dateTime="2025-03-11T16:29:12" maxSheetId="16" userName="Andre A. Le Grange" r:id="rId300" minRId="4477" maxRId="4515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5ED01594-481C-4BD5-9DEB-4AFA3850FAD4}" dateTime="2025-03-12T09:03:57" maxSheetId="16" userName="Andre A. Le Grange" r:id="rId301" minRId="4516" maxRId="4587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16083734-A4A5-4983-9FC6-DE72E2AE701F}" dateTime="2025-03-12T09:08:25" maxSheetId="16" userName="Andre A. Le Grange" r:id="rId302" minRId="4588" maxRId="4596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88842E30-7226-4982-8B59-5C8FCC646858}" dateTime="2025-03-12T09:09:47" maxSheetId="16" userName="Andre A. Le Grange" r:id="rId303" minRId="4597" maxRId="4598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838404EF-4449-4B0D-A5A0-92C36087FC37}" dateTime="2025-03-12T09:14:38" maxSheetId="16" userName="Andre A. Le Grange" r:id="rId304" minRId="4599" maxRId="4602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ED5A8E12-905D-4418-9208-704ABF306B40}" dateTime="2025-03-12T09:20:22" maxSheetId="16" userName="Andre A. Le Grange" r:id="rId305" minRId="4603" maxRId="4626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3C79FACC-8DAE-4A6B-9F99-F1F938A8B1C2}" dateTime="2025-03-12T09:21:14" maxSheetId="16" userName="Andre A. Le Grange" r:id="rId306" minRId="4627" maxRId="4632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40BDE074-242A-486D-8A14-28B1F0617346}" dateTime="2025-03-12T09:31:23" maxSheetId="16" userName="Andre A. Le Grange" r:id="rId307" minRId="4633" maxRId="4670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95DBDE6A-687C-4E6D-BB13-3E3EDF008826}" dateTime="2025-03-12T09:36:18" maxSheetId="16" userName="Andre A. Le Grange" r:id="rId308" minRId="4671" maxRId="4709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5F6E2EED-CDDD-4E86-9EF8-33FDC501B8EB}" dateTime="2025-03-12T09:44:01" maxSheetId="16" userName="Andre A. Le Grange" r:id="rId309" minRId="4710" maxRId="4757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454B6ABC-6E16-448A-9CC5-08C48C08AC62}" dateTime="2025-03-12T09:46:31" maxSheetId="16" userName="Andre A. Le Grange" r:id="rId310" minRId="4758" maxRId="4777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9226AEAB-21D4-480A-9595-D14113F8C22F}" dateTime="2025-03-12T09:47:06" maxSheetId="16" userName="Andre A. Le Grange" r:id="rId311" minRId="4778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8A875850-39B7-4042-A906-0006843350C8}" dateTime="2025-03-12T09:55:00" maxSheetId="16" userName="Andre A. Le Grange" r:id="rId312" minRId="4779" maxRId="4781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A6E92E50-39CE-4307-B268-E35F48667A82}" dateTime="2025-03-12T10:04:46" maxSheetId="16" userName="Andre A. Le Grange" r:id="rId313" minRId="4782" maxRId="4789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66678246-B767-400F-B1D2-0FF24DF45851}" dateTime="2025-03-13T11:13:13" maxSheetId="16" userName="Andre A. Le Grange" r:id="rId314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66AC1D27-AAD1-4F4D-887B-BB2A66075FBE}" dateTime="2025-03-13T11:17:31" maxSheetId="16" userName="Andre A. Le Grange" r:id="rId315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81654806-B426-4195-8520-D77D1A9D7FC1}" dateTime="2025-03-13T11:23:31" maxSheetId="16" userName="Andre A. Le Grange" r:id="rId316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31A87626-1FB4-4163-BB57-BD172D884783}" dateTime="2025-03-13T11:24:12" maxSheetId="16" userName="Andre A. Le Grange" r:id="rId317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4D52F777-55E2-4B94-8824-02DD609E31FD}" dateTime="2025-03-13T11:29:01" maxSheetId="16" userName="Andre A. Le Grange" r:id="rId318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6167BF1B-6384-47CB-91AB-61B2ED69EB03}" dateTime="2025-03-13T12:59:52" maxSheetId="16" userName="Andre A. Le Grange" r:id="rId319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95147F25-9671-4189-913A-97ED856A9BB5}" dateTime="2025-03-13T13:00:47" maxSheetId="16" userName="Andre A. Le Grange" r:id="rId320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0E182D05-DEC6-4FE6-AF28-63A6E563E45D}" dateTime="2025-03-13T13:01:19" maxSheetId="16" userName="Andre A. Le Grange" r:id="rId321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F20EAD3A-1B9D-4BD2-BA04-DDC074462619}" dateTime="2025-03-13T13:02:20" maxSheetId="16" userName="Andre A. Le Grange" r:id="rId322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14ED820A-F934-4B24-AB30-A1CB696F41D7}" dateTime="2025-03-13T14:45:23" maxSheetId="16" userName="Andre A. Le Grange" r:id="rId323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26F06FAC-406A-4AD1-93C9-670B62E54499}" dateTime="2025-03-13T14:47:25" maxSheetId="16" userName="Andre A. Le Grange" r:id="rId324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F3FE3F83-752C-4DB1-A02A-678235EF00C0}" dateTime="2025-03-13T14:48:57" maxSheetId="16" userName="Andre A. Le Grange" r:id="rId325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631A4AAF-F4DA-4DDE-8943-9F01E672FA56}" dateTime="2025-03-13T14:51:55" maxSheetId="16" userName="Andre A. Le Grange" r:id="rId326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79B21179-3E36-4D7C-8B88-65B46D065B10}" dateTime="2025-03-13T15:06:41" maxSheetId="16" userName="Andre A. Le Grange" r:id="rId327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C809BD02-EF55-4CDC-8B89-9AE43B65F142}" dateTime="2025-03-13T15:19:18" maxSheetId="16" userName="Andre A. Le Grange" r:id="rId328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76A74B08-17FE-458F-854A-C974FAF67D7D}" dateTime="2025-03-13T15:22:21" maxSheetId="16" userName="Andre A. Le Grange" r:id="rId329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40366B04-F75B-4567-857A-236456AF6D23}" dateTime="2025-03-13T15:25:25" maxSheetId="16" userName="Andre A. Le Grange" r:id="rId330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3308BB39-0776-4431-AD22-7824DFBC02B5}" dateTime="2025-03-13T15:40:30" maxSheetId="16" userName="Andre A. Le Grange" r:id="rId331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2965648F-5627-4E77-A117-3E6071BAB602}" dateTime="2025-03-13T15:41:51" maxSheetId="16" userName="Andre A. Le Grange" r:id="rId332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D3E3EB2B-4B05-4715-A3BB-1744A69D11A1}" dateTime="2025-03-13T15:42:34" maxSheetId="16" userName="Andre A. Le Grange" r:id="rId333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8C3C6E3F-7880-4A14-9264-4AC3FD287A42}" dateTime="2025-03-13T15:45:42" maxSheetId="16" userName="Andre A. Le Grange" r:id="rId334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CB0C285F-EFA4-447D-8FCC-E5CE0D8472F2}" dateTime="2025-03-13T15:47:01" maxSheetId="16" userName="Andre A. Le Grange" r:id="rId335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293FE76B-B9F9-472B-991D-5EB5F7F6280C}" dateTime="2025-03-13T15:47:17" maxSheetId="16" userName="Andre A. Le Grange" r:id="rId336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63949A41-F5C5-437B-95ED-BC6715FFF1CD}" dateTime="2025-03-13T15:49:18" maxSheetId="16" userName="Andre A. Le Grange" r:id="rId337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8226489C-1C39-4946-897D-F45DEA0336EF}" dateTime="2025-03-13T15:54:35" maxSheetId="16" userName="Andre A. Le Grange" r:id="rId338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A68E6F57-3290-4471-AF9F-97CFD806AA3D}" dateTime="2025-03-13T15:55:09" maxSheetId="16" userName="Andre A. Le Grange" r:id="rId339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1BA40D83-3696-46B0-BF3E-A0F938EE0D64}" dateTime="2025-03-13T15:57:19" maxSheetId="16" userName="Andre A. Le Grange" r:id="rId340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F88C404B-052E-4951-A4A0-5E9D2570D73B}" dateTime="2025-03-13T15:57:42" maxSheetId="16" userName="Andre A. Le Grange" r:id="rId341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2C6F1FFC-4452-4E0E-8464-DBCBE7FBC73C}" dateTime="2025-03-13T15:59:00" maxSheetId="16" userName="Andre A. Le Grange" r:id="rId342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6C196D8E-DDCF-4435-9239-CF8015B1D980}" dateTime="2025-03-13T15:59:30" maxSheetId="16" userName="Andre A. Le Grange" r:id="rId343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2F471572-641F-4C05-94CF-82B8103ADF55}" dateTime="2025-03-13T16:00:41" maxSheetId="16" userName="Andre A. Le Grange" r:id="rId344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DDF4B033-4977-47C3-B2A4-E5D5C16B2D5C}" dateTime="2025-03-13T16:02:11" maxSheetId="16" userName="Andre A. Le Grange" r:id="rId345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12F3FD15-BB66-4C97-B629-3D3C0A200926}" dateTime="2025-03-13T16:03:59" maxSheetId="16" userName="Andre A. Le Grange" r:id="rId346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29F3B1A2-3314-45CC-BD26-50D52CC24F6E}" dateTime="2025-03-13T16:04:42" maxSheetId="16" userName="Andre A. Le Grange" r:id="rId347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67C836AF-1598-47EE-B5D9-0EC892B39331}" dateTime="2025-03-13T16:05:53" maxSheetId="16" userName="Andre A. Le Grange" r:id="rId348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6BD9D514-2710-4554-A92E-2335E802B64C}" dateTime="2025-03-13T16:06:36" maxSheetId="16" userName="Andre A. Le Grange" r:id="rId349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937E64F6-8512-45B2-9FEB-F0F038A77BA2}" dateTime="2025-03-13T16:07:18" maxSheetId="16" userName="Andre A. Le Grange" r:id="rId350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2B56DEBA-ECA1-4AA7-9025-C987F1892567}" dateTime="2025-03-13T16:07:45" maxSheetId="16" userName="Andre A. Le Grange" r:id="rId351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FC0B2DD0-F364-4DDC-91AE-7B6471534FB7}" dateTime="2025-03-13T16:08:28" maxSheetId="16" userName="Andre A. Le Grange" r:id="rId352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EF6361AE-4BAE-44C1-BC49-7DA83EC2F034}" dateTime="2025-03-13T16:09:22" maxSheetId="16" userName="Andre A. Le Grange" r:id="rId353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4DEE7C92-2213-4660-92CE-C99E3D846F7B}" dateTime="2025-03-13T16:15:56" maxSheetId="16" userName="Andre A. Le Grange" r:id="rId354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A1BFFD84-1FDC-4D55-88EA-DEAC54D794C9}" dateTime="2025-03-13T16:16:34" maxSheetId="16" userName="Andre A. Le Grange" r:id="rId355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8DDA02EE-D58B-439D-9C32-0DC4837BE8C3}" dateTime="2025-03-13T16:17:47" maxSheetId="16" userName="Andre A. Le Grange" r:id="rId356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93BDD5F1-EFB5-49B7-B8F0-1D735CC1A61B}" dateTime="2025-03-13T16:19:22" maxSheetId="16" userName="Andre A. Le Grange" r:id="rId357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31A90192-B67A-4788-81DC-B7F3C322CB92}" dateTime="2025-03-13T16:20:05" maxSheetId="16" userName="Andre A. Le Grange" r:id="rId358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C62E3439-A1B6-4FE6-919D-2BE43D3E64A0}" dateTime="2025-03-13T16:25:02" maxSheetId="16" userName="Andre A. Le Grange" r:id="rId359" minRId="4790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0279BCA4-71FF-447E-A1A2-C1E5A7AB496C}" dateTime="2025-03-13T16:27:32" maxSheetId="16" userName="Andre A. Le Grange" r:id="rId360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29834944-0E5E-4CF9-BBBC-4B587636B522}" dateTime="2025-03-14T11:52:09" maxSheetId="16" userName="Andre A. Le Grange" r:id="rId361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8EBE24A0-AC0B-4C61-A079-690FD4CE4B5F}" dateTime="2025-03-14T12:34:08" maxSheetId="16" userName="Andre A. Le Grange" r:id="rId362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E32C57A1-1C80-44FB-89D0-183CECC459BA}" dateTime="2025-03-14T12:35:26" maxSheetId="16" userName="Andre A. Le Grange" r:id="rId363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89B9D8AE-5865-48CD-A036-89B434C4745E}" dateTime="2025-03-14T12:37:38" maxSheetId="16" userName="Andre A. Le Grange" r:id="rId364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D7C8F3E8-9E86-4AE2-8FC9-CC46DE8572C9}" dateTime="2025-03-14T12:43:02" maxSheetId="16" userName="Andre A. Le Grange" r:id="rId365" minRId="4791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5C85F286-9550-435E-A703-FA42C9D3AA07}" dateTime="2025-03-14T12:45:54" maxSheetId="16" userName="Andre A. Le Grange" r:id="rId366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943C3700-1107-4CF0-9A46-9CE4B2929387}" dateTime="2025-03-14T14:42:42" maxSheetId="16" userName="Andre A. Le Grange" r:id="rId367" minRId="4792" maxRId="4802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F2D250E3-0148-4D42-BD54-6DE4C7A64B1F}" dateTime="2025-03-14T14:43:18" maxSheetId="16" userName="Andre A. Le Grange" r:id="rId368" minRId="4803" maxRId="4805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C9555D14-6CA2-4F1C-B99C-C9306CCA0662}" dateTime="2025-03-14T14:44:43" maxSheetId="16" userName="Andre A. Le Grange" r:id="rId369" minRId="4806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E2481361-315B-4834-9510-37920B99DE1B}" dateTime="2025-03-14T14:49:22" maxSheetId="16" userName="Andre A. Le Grange" r:id="rId370" minRId="4807" maxRId="4809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82185AB4-6EB1-42C5-BD47-F015857A06E9}" dateTime="2025-03-14T15:19:42" maxSheetId="16" userName="Andre A. Le Grange" r:id="rId371" minRId="4810" maxRId="4811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96D107A4-75F3-41CB-9AE5-480A9A6B777B}" dateTime="2025-03-14T15:21:36" maxSheetId="16" userName="Andre A. Le Grange" r:id="rId372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7A061B7A-9D25-4FB2-BDD7-F9563BBE83BA}" dateTime="2025-03-17T11:30:53" maxSheetId="16" userName="Andre A. Le Grange" r:id="rId373" minRId="4812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A51959B7-0D3B-420D-A427-7FE8F3D22A53}" dateTime="2025-03-17T16:11:44" maxSheetId="16" userName="Andre A. Le Grange" r:id="rId374" minRId="4813" maxRId="4829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45ECE943-794D-4925-A548-72057FF3F7B5}" dateTime="2025-03-17T16:16:39" maxSheetId="16" userName="Andre A. Le Grange" r:id="rId375" minRId="4830" maxRId="4843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E3D47F3D-034A-4CA4-BA1A-BB15281B02BD}" dateTime="2025-03-17T16:17:39" maxSheetId="16" userName="Andre A. Le Grange" r:id="rId376" minRId="4844" maxRId="4847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4350D6CC-1ED8-44FC-B0DC-0AE439DE116B}" dateTime="2025-03-17T16:20:12" maxSheetId="16" userName="Andre A. Le Grange" r:id="rId377" minRId="4848" maxRId="4858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63ACFD8C-16FD-4B19-B09F-79E36B31B620}" dateTime="2025-03-20T16:36:23" maxSheetId="16" userName="Andre A. Le Grange" r:id="rId378" minRId="4859" maxRId="4862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B903BBC0-B5BA-47F3-B3C5-0603A8C2991A}" dateTime="2025-05-05T16:01:05" maxSheetId="16" userName="Andre A. Le Grange" r:id="rId379" minRId="4863" maxRId="4902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4FEF82F3-3A9A-4AC7-BCCF-3039B51F15E6}" dateTime="2025-05-05T16:04:57" maxSheetId="16" userName="Andre A. Le Grange" r:id="rId380" minRId="4927" maxRId="4946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2E5486B5-FD38-4539-A7C7-303ED6B20E66}" dateTime="2025-05-05T16:18:58" maxSheetId="16" userName="Andre A. Le Grange" r:id="rId381" minRId="4947" maxRId="4961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DCCCDD06-EAD8-4F44-BD4E-02FCE9653084}" dateTime="2025-05-13T09:26:39" maxSheetId="16" userName="Siyakudumisa Nokwe" r:id="rId382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22:D22">
    <dxf>
      <fill>
        <patternFill patternType="solid">
          <bgColor rgb="FFFFFF00"/>
        </patternFill>
      </fill>
    </dxf>
  </rfmt>
  <rfmt sheetId="1" sqref="A15:C15">
    <dxf>
      <fill>
        <patternFill patternType="solid">
          <bgColor rgb="FFFFFF00"/>
        </patternFill>
      </fill>
    </dxf>
  </rfmt>
  <rfmt sheetId="1" sqref="D22">
    <dxf>
      <fill>
        <patternFill>
          <bgColor theme="0"/>
        </patternFill>
      </fill>
    </dxf>
  </rfmt>
  <rfmt sheetId="1" sqref="A8:C8">
    <dxf>
      <fill>
        <patternFill patternType="solid">
          <bgColor rgb="FFFFFF00"/>
        </patternFill>
      </fill>
    </dxf>
  </rfmt>
  <rfmt sheetId="1" sqref="A16:C16">
    <dxf>
      <fill>
        <patternFill patternType="solid">
          <bgColor rgb="FFFFFF00"/>
        </patternFill>
      </fill>
    </dxf>
  </rfmt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4" sqref="A90:C90">
    <dxf>
      <fill>
        <patternFill patternType="solid">
          <bgColor rgb="FFFFFF00"/>
        </patternFill>
      </fill>
    </dxf>
  </rfmt>
</revisions>
</file>

<file path=xl/revisions/revisionLog10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81" sId="6" numFmtId="34">
    <oc r="K35">
      <v>17160</v>
    </oc>
    <nc r="K35">
      <f>8358*1.06</f>
    </nc>
  </rcc>
  <rfmt sheetId="6" sqref="K35">
    <dxf>
      <fill>
        <patternFill patternType="solid">
          <bgColor rgb="FF7030A0"/>
        </patternFill>
      </fill>
    </dxf>
  </rfmt>
</revisions>
</file>

<file path=xl/revisions/revisionLog10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5" sqref="K39">
    <dxf>
      <fill>
        <patternFill patternType="solid">
          <bgColor rgb="FF7030A0"/>
        </patternFill>
      </fill>
    </dxf>
  </rfmt>
  <rcc rId="3382" sId="7" numFmtId="34">
    <oc r="K39">
      <v>17160</v>
    </oc>
    <nc r="K39">
      <f>9492*1.06</f>
    </nc>
  </rcc>
  <rfmt sheetId="7" sqref="K39">
    <dxf>
      <fill>
        <patternFill patternType="solid">
          <bgColor rgb="FF7030A0"/>
        </patternFill>
      </fill>
    </dxf>
  </rfmt>
</revisions>
</file>

<file path=xl/revisions/revisionLog10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6" sqref="K15">
    <dxf>
      <fill>
        <patternFill patternType="solid">
          <bgColor rgb="FF7030A0"/>
        </patternFill>
      </fill>
    </dxf>
  </rfmt>
</revisions>
</file>

<file path=xl/revisions/revisionLog10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83" sId="3" numFmtId="34">
    <oc r="K15">
      <v>1200</v>
    </oc>
    <nc r="K15">
      <f>678*1.06</f>
    </nc>
  </rcc>
  <rfmt sheetId="3" sqref="K15">
    <dxf>
      <fill>
        <patternFill patternType="solid">
          <bgColor rgb="FF7030A0"/>
        </patternFill>
      </fill>
    </dxf>
  </rfmt>
</revisions>
</file>

<file path=xl/revisions/revisionLog10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6" sqref="K13">
    <dxf>
      <fill>
        <patternFill patternType="solid">
          <bgColor rgb="FF7030A0"/>
        </patternFill>
      </fill>
    </dxf>
  </rfmt>
</revisions>
</file>

<file path=xl/revisions/revisionLog10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5" sqref="K47">
    <dxf>
      <fill>
        <patternFill patternType="solid">
          <bgColor rgb="FF7030A0"/>
        </patternFill>
      </fill>
    </dxf>
  </rfmt>
</revisions>
</file>

<file path=xl/revisions/revisionLog10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84" sId="4">
    <oc r="K20">
      <f>2000</f>
    </oc>
    <nc r="K20">
      <f>1716*1.06</f>
    </nc>
  </rcc>
  <rfmt sheetId="4" sqref="K20">
    <dxf>
      <fill>
        <patternFill patternType="solid">
          <bgColor rgb="FF7030A0"/>
        </patternFill>
      </fill>
    </dxf>
  </rfmt>
</revisions>
</file>

<file path=xl/revisions/revisionLog10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7" sqref="K23">
    <dxf>
      <fill>
        <patternFill patternType="solid">
          <bgColor rgb="FF7030A0"/>
        </patternFill>
      </fill>
    </dxf>
  </rfmt>
</revisions>
</file>

<file path=xl/revisions/revisionLog10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85" sId="7" numFmtId="34">
    <oc r="K44">
      <v>17160</v>
    </oc>
    <nc r="K44">
      <f>7770*1.06</f>
    </nc>
  </rcc>
  <rfmt sheetId="7" sqref="K44">
    <dxf>
      <fill>
        <patternFill patternType="solid">
          <bgColor rgb="FF7030A0"/>
        </patternFill>
      </fill>
    </dxf>
  </rfmt>
  <rcc rId="3386" sId="6" numFmtId="34">
    <oc r="K27">
      <v>2400</v>
    </oc>
    <nc r="K27">
      <f>1932*1.06</f>
    </nc>
  </rcc>
  <rcc rId="3387" sId="6" numFmtId="34">
    <oc r="K28">
      <v>2400</v>
    </oc>
    <nc r="K28">
      <f>1932*1.06</f>
    </nc>
  </rcc>
  <rcc rId="3388" sId="6" numFmtId="34">
    <oc r="K29">
      <v>2400</v>
    </oc>
    <nc r="K29">
      <f>1932*1.06</f>
    </nc>
  </rcc>
  <rcc rId="3389" sId="6" numFmtId="34">
    <oc r="K30">
      <v>2400</v>
    </oc>
    <nc r="K30">
      <f>1932*1.06</f>
    </nc>
  </rcc>
  <rfmt sheetId="6" sqref="K27">
    <dxf>
      <fill>
        <patternFill patternType="solid">
          <bgColor rgb="FF7030A0"/>
        </patternFill>
      </fill>
    </dxf>
  </rfmt>
</revisions>
</file>

<file path=xl/revisions/revisionLog10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90" sId="5" numFmtId="34">
    <oc r="K19">
      <v>2400</v>
    </oc>
    <nc r="K19">
      <f>1932*1.06</f>
    </nc>
  </rcc>
  <rcc rId="3391" sId="5" numFmtId="34">
    <oc r="K17">
      <v>2400</v>
    </oc>
    <nc r="K17">
      <f>1932*1.06</f>
    </nc>
  </rcc>
  <rcc rId="3392" sId="5" numFmtId="34">
    <oc r="K18">
      <v>2400</v>
    </oc>
    <nc r="K18">
      <f>1932*1.06</f>
    </nc>
  </rcc>
  <rcc rId="3393" sId="5" numFmtId="34">
    <oc r="K20">
      <v>2400</v>
    </oc>
    <nc r="K20">
      <f>1932*1.06</f>
    </nc>
  </rcc>
  <rcc rId="3394" sId="5" numFmtId="34">
    <oc r="K21">
      <v>2400</v>
    </oc>
    <nc r="K21">
      <f>1932*1.06</f>
    </nc>
  </rcc>
  <rcc rId="3395" sId="5" numFmtId="34">
    <oc r="K22">
      <v>2400</v>
    </oc>
    <nc r="K22">
      <f>1932*1.06</f>
    </nc>
  </rcc>
  <rfmt sheetId="5" sqref="K19">
    <dxf>
      <fill>
        <patternFill patternType="solid">
          <bgColor rgb="FF7030A0"/>
        </patternFill>
      </fill>
    </dxf>
  </rfmt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35" sId="9" numFmtId="34">
    <oc r="A4">
      <v>15.5</v>
    </oc>
    <nc r="A4">
      <v>16</v>
    </nc>
  </rcc>
  <rcc rId="2736" sId="2">
    <oc r="A1" t="inlineStr">
      <is>
        <t>VEHICLE BUDGET 2020-2021</t>
      </is>
    </oc>
    <nc r="A1" t="inlineStr">
      <is>
        <t>VEHICLE BUDGET 2021-2022</t>
      </is>
    </nc>
  </rcc>
  <rcc rId="2737" sId="1">
    <oc r="A1" t="inlineStr">
      <is>
        <t>VEHICLE BUDGET 2020-2021</t>
      </is>
    </oc>
    <nc r="A1" t="inlineStr">
      <is>
        <t>VEHICLE BUDGET 2021-2022</t>
      </is>
    </nc>
  </rcc>
  <rcc rId="2738" sId="3">
    <oc r="A1" t="inlineStr">
      <is>
        <t>VEHICLE BUDGET 2020-2021</t>
      </is>
    </oc>
    <nc r="A1" t="inlineStr">
      <is>
        <t>VEHICLE BUDGET 2021-2022</t>
      </is>
    </nc>
  </rcc>
  <rcc rId="2739" sId="4">
    <oc r="A1" t="inlineStr">
      <is>
        <t>VEHICLE BUDGET 2020-2021</t>
      </is>
    </oc>
    <nc r="A1" t="inlineStr">
      <is>
        <t>VEHICLE BUDGET 2021-2022</t>
      </is>
    </nc>
  </rcc>
  <rcc rId="2740" sId="5">
    <oc r="A1" t="inlineStr">
      <is>
        <t>VEHICLE BUDGET 2020-2021</t>
      </is>
    </oc>
    <nc r="A1" t="inlineStr">
      <is>
        <t>VEHICLE BUDGET 2021-2022</t>
      </is>
    </nc>
  </rcc>
  <rcc rId="2741" sId="6">
    <oc r="A1" t="inlineStr">
      <is>
        <t>VEHICLE BUDGET 2020-2021</t>
      </is>
    </oc>
    <nc r="A1" t="inlineStr">
      <is>
        <t>VEHICLE BUDGET 2021-2022</t>
      </is>
    </nc>
  </rcc>
  <rcc rId="2742" sId="7">
    <oc r="A1" t="inlineStr">
      <is>
        <t>VEHICLE BUDGET 2020-2021</t>
      </is>
    </oc>
    <nc r="A1" t="inlineStr">
      <is>
        <t>VEHICLE BUDGET 2021-2022</t>
      </is>
    </nc>
  </rcc>
  <rcc rId="2743" sId="8">
    <oc r="A1" t="inlineStr">
      <is>
        <t>VEHICLE BUDGET 2020-2021</t>
      </is>
    </oc>
    <nc r="A1" t="inlineStr">
      <is>
        <t>VEHICLE BUDGET 2021-2022</t>
      </is>
    </nc>
  </rcc>
</revisions>
</file>

<file path=xl/revisions/revisionLog1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6" sqref="K29">
    <dxf>
      <fill>
        <patternFill patternType="solid">
          <bgColor rgb="FF7030A0"/>
        </patternFill>
      </fill>
    </dxf>
  </rfmt>
</revisions>
</file>

<file path=xl/revisions/revisionLog1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5" sqref="K17">
    <dxf>
      <fill>
        <patternFill patternType="solid">
          <bgColor rgb="FF7030A0"/>
        </patternFill>
      </fill>
    </dxf>
  </rfmt>
</revisions>
</file>

<file path=xl/revisions/revisionLog1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96" sId="7" numFmtId="34">
    <oc r="K29">
      <v>2400</v>
    </oc>
    <nc r="K29">
      <f>1932*1.06</f>
    </nc>
  </rcc>
  <rfmt sheetId="7" sqref="K29">
    <dxf>
      <fill>
        <patternFill patternType="solid">
          <bgColor rgb="FF7030A0"/>
        </patternFill>
      </fill>
    </dxf>
  </rfmt>
</revisions>
</file>

<file path=xl/revisions/revisionLog1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97" sId="4">
    <oc r="K21">
      <f>2000</f>
    </oc>
    <nc r="K21">
      <f>1932*1.06</f>
    </nc>
  </rcc>
  <rfmt sheetId="4" sqref="K21">
    <dxf>
      <fill>
        <patternFill patternType="solid">
          <bgColor rgb="FF7030A0"/>
        </patternFill>
      </fill>
    </dxf>
  </rfmt>
</revisions>
</file>

<file path=xl/revisions/revisionLog1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98" sId="5" numFmtId="34">
    <oc r="K66">
      <v>2400</v>
    </oc>
    <nc r="K66">
      <f>2952*1.06</f>
    </nc>
  </rcc>
  <rfmt sheetId="5" sqref="K66">
    <dxf>
      <fill>
        <patternFill patternType="solid">
          <bgColor rgb="FF7030A0"/>
        </patternFill>
      </fill>
    </dxf>
  </rfmt>
  <rcc rId="3399" sId="5" odxf="1" dxf="1" numFmtId="34">
    <oc r="K67">
      <v>2400</v>
    </oc>
    <nc r="K67">
      <f>2952*1.06</f>
    </nc>
    <odxf>
      <fill>
        <patternFill patternType="none">
          <bgColor indexed="65"/>
        </patternFill>
      </fill>
    </odxf>
    <ndxf>
      <fill>
        <patternFill patternType="solid">
          <bgColor rgb="FF7030A0"/>
        </patternFill>
      </fill>
    </ndxf>
  </rcc>
  <rfmt sheetId="5" sqref="K67">
    <dxf>
      <fill>
        <patternFill>
          <bgColor theme="0"/>
        </patternFill>
      </fill>
    </dxf>
  </rfmt>
</revisions>
</file>

<file path=xl/revisions/revisionLog1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5" sqref="K67">
    <dxf>
      <fill>
        <patternFill>
          <bgColor rgb="FF7030A0"/>
        </patternFill>
      </fill>
    </dxf>
  </rfmt>
</revisions>
</file>

<file path=xl/revisions/revisionLog1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5" sqref="K20">
    <dxf>
      <fill>
        <patternFill patternType="solid">
          <bgColor rgb="FF7030A0"/>
        </patternFill>
      </fill>
    </dxf>
  </rfmt>
  <rfmt sheetId="5" sqref="K21">
    <dxf>
      <fill>
        <patternFill patternType="solid">
          <bgColor rgb="FF7030A0"/>
        </patternFill>
      </fill>
    </dxf>
  </rfmt>
  <rfmt sheetId="5" sqref="K18">
    <dxf>
      <fill>
        <patternFill patternType="solid">
          <bgColor rgb="FF7030A0"/>
        </patternFill>
      </fill>
    </dxf>
  </rfmt>
  <rfmt sheetId="5" sqref="K22">
    <dxf>
      <fill>
        <patternFill patternType="solid">
          <bgColor rgb="FF7030A0"/>
        </patternFill>
      </fill>
    </dxf>
  </rfmt>
</revisions>
</file>

<file path=xl/revisions/revisionLog1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6" sqref="K28">
    <dxf>
      <fill>
        <patternFill patternType="solid">
          <bgColor rgb="FF7030A0"/>
        </patternFill>
      </fill>
    </dxf>
  </rfmt>
</revisions>
</file>

<file path=xl/revisions/revisionLog1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6" sqref="K30">
    <dxf>
      <fill>
        <patternFill patternType="solid">
          <bgColor rgb="FF7030A0"/>
        </patternFill>
      </fill>
    </dxf>
  </rfmt>
</revisions>
</file>

<file path=xl/revisions/revisionLog1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00" sId="6" numFmtId="34">
    <oc r="K80">
      <v>17160</v>
    </oc>
    <nc r="K80">
      <f>9228*1.06</f>
    </nc>
  </rcc>
  <rcc rId="3401" sId="6" numFmtId="34">
    <oc r="K81">
      <v>17160</v>
    </oc>
    <nc r="K81">
      <f>9228*1.06</f>
    </nc>
  </rcc>
  <rcc rId="3402" sId="6" numFmtId="34">
    <oc r="K78">
      <v>17160</v>
    </oc>
    <nc r="K78">
      <f>9228*1.06</f>
    </nc>
  </rcc>
  <rcc rId="3403" sId="6" numFmtId="34">
    <oc r="K79">
      <v>17160</v>
    </oc>
    <nc r="K79">
      <f>9228*1.06</f>
    </nc>
  </rcc>
  <rfmt sheetId="6" sqref="K80">
    <dxf>
      <fill>
        <patternFill patternType="solid">
          <bgColor rgb="FF7030A0"/>
        </patternFill>
      </fill>
    </dxf>
  </rfmt>
  <rfmt sheetId="6" sqref="K81">
    <dxf>
      <fill>
        <patternFill patternType="solid">
          <bgColor rgb="FF7030A0"/>
        </patternFill>
      </fill>
    </dxf>
  </rfmt>
  <rfmt sheetId="6" sqref="K79">
    <dxf>
      <fill>
        <patternFill patternType="solid">
          <bgColor rgb="FF7030A0"/>
        </patternFill>
      </fill>
    </dxf>
  </rfmt>
  <rfmt sheetId="6" sqref="K78">
    <dxf>
      <fill>
        <patternFill patternType="solid">
          <bgColor rgb="FF7030A0"/>
        </patternFill>
      </fill>
    </dxf>
  </rfmt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44" sId="9" numFmtId="34">
    <oc r="A4">
      <v>16</v>
    </oc>
    <nc r="A4">
      <v>22</v>
    </nc>
  </rcc>
  <rcc rId="2745" sId="9" numFmtId="13">
    <oc r="A2">
      <v>-0.27500000000000002</v>
    </oc>
    <nc r="A2">
      <v>-0.22500000000000001</v>
    </nc>
  </rcc>
  <rcv guid="{DF69299D-7752-4436-A45D-28F739CEE21B}" action="delete"/>
  <rdn rId="0" localSheetId="1" customView="1" name="Z_DF69299D_7752_4436_A45D_28F739CEE21B_.wvu.PrintArea" hidden="1" oldHidden="1">
    <formula>mayor!$A$1:$Q$42</formula>
    <oldFormula>mayor!$A$1:$Q$42</oldFormula>
  </rdn>
  <rdn rId="0" localSheetId="1" customView="1" name="Z_DF69299D_7752_4436_A45D_28F739CEE21B_.wvu.Cols" hidden="1" oldHidden="1">
    <formula>mayor!$P:$P</formula>
    <oldFormula>mayor!$P:$P</oldFormula>
  </rdn>
  <rdn rId="0" localSheetId="2" customView="1" name="Z_DF69299D_7752_4436_A45D_28F739CEE21B_.wvu.PrintArea" hidden="1" oldHidden="1">
    <formula>income!$A$1:$Q$16</formula>
    <oldFormula>income!$A$1:$Q$16</oldFormula>
  </rdn>
  <rdn rId="0" localSheetId="2" customView="1" name="Z_DF69299D_7752_4436_A45D_28F739CEE21B_.wvu.Cols" hidden="1" oldHidden="1">
    <formula>income!$P:$P</formula>
    <oldFormula>income!$P:$P</oldFormula>
  </rdn>
  <rdn rId="0" localSheetId="3" customView="1" name="Z_DF69299D_7752_4436_A45D_28F739CEE21B_.wvu.PrintArea" hidden="1" oldHidden="1">
    <formula>workshop!$A$1:$Q$20</formula>
    <oldFormula>workshop!$A$1:$Q$20</oldFormula>
  </rdn>
  <rdn rId="0" localSheetId="3" customView="1" name="Z_DF69299D_7752_4436_A45D_28F739CEE21B_.wvu.Cols" hidden="1" oldHidden="1">
    <formula>workshop!$J:$J,workshop!$P:$P</formula>
    <oldFormula>workshop!$J:$J,workshop!$P:$P</oldFormula>
  </rdn>
  <rdn rId="0" localSheetId="4" customView="1" name="Z_DF69299D_7752_4436_A45D_28F739CEE21B_.wvu.PrintArea" hidden="1" oldHidden="1">
    <formula>'COMMUNITY SERV'!$A$1:$Q$102</formula>
    <oldFormula>'COMMUNITY SERV'!$A$1:$Q$102</oldFormula>
  </rdn>
  <rdn rId="0" localSheetId="5" customView="1" name="Z_DF69299D_7752_4436_A45D_28F739CEE21B_.wvu.PrintArea" hidden="1" oldHidden="1">
    <formula>EEM!$A$1:$Q$97</formula>
    <oldFormula>EEM!$A$1:$Q$97</oldFormula>
  </rdn>
  <rdn rId="0" localSheetId="6" customView="1" name="Z_DF69299D_7752_4436_A45D_28F739CEE21B_.wvu.PrintArea" hidden="1" oldHidden="1">
    <formula>CEM!$A$1:$Q$145</formula>
    <oldFormula>CEM!$A$1:$Q$145</oldFormula>
  </rdn>
  <rdn rId="0" localSheetId="6" customView="1" name="Z_DF69299D_7752_4436_A45D_28F739CEE21B_.wvu.Rows" hidden="1" oldHidden="1">
    <formula>CEM!$140:$140</formula>
    <oldFormula>CEM!$140:$140</oldFormula>
  </rdn>
  <rdn rId="0" localSheetId="6" customView="1" name="Z_DF69299D_7752_4436_A45D_28F739CEE21B_.wvu.Cols" hidden="1" oldHidden="1">
    <formula>CEM!$P:$P</formula>
    <oldFormula>CEM!$P:$P</oldFormula>
  </rdn>
  <rdn rId="0" localSheetId="7" customView="1" name="Z_DF69299D_7752_4436_A45D_28F739CEE21B_.wvu.PrintArea" hidden="1" oldHidden="1">
    <formula>MDC!$A$1:$Q$90</formula>
    <oldFormula>MDC!$A$1:$Q$90</oldFormula>
  </rdn>
  <rdn rId="0" localSheetId="7" customView="1" name="Z_DF69299D_7752_4436_A45D_28F739CEE21B_.wvu.Rows" hidden="1" oldHidden="1">
    <formula>MDC!$67:$73</formula>
    <oldFormula>MDC!$67:$73</oldFormula>
  </rdn>
  <rdn rId="0" localSheetId="7" customView="1" name="Z_DF69299D_7752_4436_A45D_28F739CEE21B_.wvu.Cols" hidden="1" oldHidden="1">
    <formula>MDC!$J:$J,MDC!$P:$P</formula>
    <oldFormula>MDC!$J:$J,MDC!$P:$P</oldFormula>
  </rdn>
  <rdn rId="0" localSheetId="8" customView="1" name="Z_DF69299D_7752_4436_A45D_28F739CEE21B_.wvu.PrintArea" hidden="1" oldHidden="1">
    <formula>BUDGET!$A$1:$B$76</formula>
    <oldFormula>BUDGET!$A$1:$B$76</oldFormula>
  </rdn>
  <rdn rId="0" localSheetId="8" customView="1" name="Z_DF69299D_7752_4436_A45D_28F739CEE21B_.wvu.Rows" hidden="1" oldHidden="1">
    <formula>BUDGET!$3:$7,BUDGET!$9:$9,BUDGET!$11:$11,BUDGET!$13:$16,BUDGET!$18:$21,BUDGET!$23:$23,BUDGET!$25:$28,BUDGET!$30:$36,BUDGET!$38:$38,BUDGET!$40:$40,BUDGET!$42:$47,BUDGET!$49:$49,BUDGET!$51:$54,BUDGET!$56:$59,BUDGET!$61:$66,BUDGET!$68:$68,BUDGET!$70:$70</formula>
    <oldFormula>BUDGET!$3:$7,BUDGET!$9:$9,BUDGET!$11:$11,BUDGET!$13:$16,BUDGET!$18:$21,BUDGET!$23:$23,BUDGET!$25:$28,BUDGET!$30:$36,BUDGET!$38:$38,BUDGET!$40:$40,BUDGET!$42:$47,BUDGET!$49:$49,BUDGET!$51:$54,BUDGET!$56:$59,BUDGET!$61:$66,BUDGET!$68:$68,BUDGET!$70:$70</oldFormula>
  </rdn>
  <rdn rId="0" localSheetId="8" customView="1" name="Z_DF69299D_7752_4436_A45D_28F739CEE21B_.wvu.Cols" hidden="1" oldHidden="1">
    <formula>BUDGET!$C:$S</formula>
    <oldFormula>BUDGET!$C:$S</oldFormula>
  </rdn>
  <rdn rId="0" localSheetId="10" customView="1" name="Z_DF69299D_7752_4436_A45D_28F739CEE21B_.wvu.FilterData" hidden="1" oldHidden="1">
    <formula>orig!$A$1:$AN$198</formula>
    <oldFormula>orig!$A$1:$AN$198</oldFormula>
  </rdn>
  <rdn rId="0" localSheetId="11" customView="1" name="Z_DF69299D_7752_4436_A45D_28F739CEE21B_.wvu.Cols" hidden="1" oldHidden="1">
    <formula>'1-10'!$B:$B</formula>
    <oldFormula>'1-10'!$B:$B</oldFormula>
  </rdn>
  <rdn rId="0" localSheetId="11" customView="1" name="Z_DF69299D_7752_4436_A45D_28F739CEE21B_.wvu.FilterData" hidden="1" oldHidden="1">
    <formula>'1-10'!$A$1:$AY$100</formula>
    <oldFormula>'1-10'!$A$1:$AY$100</oldFormula>
  </rdn>
  <rdn rId="0" localSheetId="12" customView="1" name="Z_DF69299D_7752_4436_A45D_28F739CEE21B_.wvu.Rows" hidden="1" oldHidden="1">
    <formula>'new veh 2012'!$96:$97</formula>
    <oldFormula>'new veh 2012'!$96:$97</oldFormula>
  </rdn>
  <rdn rId="0" localSheetId="12" customView="1" name="Z_DF69299D_7752_4436_A45D_28F739CEE21B_.wvu.FilterData" hidden="1" oldHidden="1">
    <formula>'new veh 2012'!$A$1:$J$95</formula>
    <oldFormula>'new veh 2012'!$A$1:$J$95</oldFormula>
  </rdn>
  <rdn rId="0" localSheetId="14" customView="1" name="Z_DF69299D_7752_4436_A45D_28F739CEE21B_.wvu.FilterData" hidden="1" oldHidden="1">
    <formula>stbk!$A$1:$G$199</formula>
    <oldFormula>stbk!$A$1:$G$199</oldFormula>
  </rdn>
  <rcv guid="{DF69299D-7752-4436-A45D-28F739CEE21B}" action="add"/>
</revisions>
</file>

<file path=xl/revisions/revisionLog1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04" sId="4">
    <oc r="B45" t="inlineStr">
      <is>
        <t>HERSOFAM</t>
      </is>
    </oc>
    <nc r="B45" t="inlineStr">
      <is>
        <t>HERSOFAM DNR343N</t>
      </is>
    </nc>
  </rcc>
  <rcc rId="3405" sId="4">
    <oc r="A45" t="inlineStr">
      <is>
        <t>DNR 343 N</t>
      </is>
    </oc>
    <nc r="A45" t="inlineStr">
      <is>
        <t>DMY  822 L</t>
      </is>
    </nc>
  </rcc>
  <rcc rId="3406" sId="4" numFmtId="34">
    <oc r="K45">
      <v>468</v>
    </oc>
    <nc r="K45">
      <f>354*1.06</f>
    </nc>
  </rcc>
  <rfmt sheetId="4" sqref="K45">
    <dxf>
      <fill>
        <patternFill>
          <bgColor rgb="FF7030A0"/>
        </patternFill>
      </fill>
    </dxf>
  </rfmt>
</revisions>
</file>

<file path=xl/revisions/revisionLog1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07" sId="5">
    <oc r="A52" t="inlineStr">
      <is>
        <t>ATLAS COMPR</t>
      </is>
    </oc>
    <nc r="A52" t="inlineStr">
      <is>
        <t>ATLAS COMPR DNK346L</t>
      </is>
    </nc>
  </rcc>
  <rcc rId="3408" sId="5">
    <oc r="B52" t="inlineStr">
      <is>
        <t>DNK 346 N</t>
      </is>
    </oc>
    <nc r="B52" t="inlineStr">
      <is>
        <t>DMY 766 L</t>
      </is>
    </nc>
  </rcc>
  <rcc rId="3409" sId="5" numFmtId="34">
    <oc r="K52">
      <v>468</v>
    </oc>
    <nc r="K52">
      <f>168*1.06</f>
    </nc>
  </rcc>
  <rfmt sheetId="5" sqref="K52">
    <dxf>
      <fill>
        <patternFill>
          <bgColor rgb="FF7030A0"/>
        </patternFill>
      </fill>
    </dxf>
  </rfmt>
</revisions>
</file>

<file path=xl/revisions/revisionLog1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10" sId="6">
    <oc r="A93" t="inlineStr">
      <is>
        <t>GALLION</t>
      </is>
    </oc>
    <nc r="A93" t="inlineStr">
      <is>
        <t>GALLION DKX035N</t>
      </is>
    </nc>
  </rcc>
  <rcc rId="3411" sId="6">
    <oc r="B93" t="inlineStr">
      <is>
        <t>DKX 035 N [063]</t>
      </is>
    </oc>
    <nc r="B93" t="inlineStr">
      <is>
        <t>DPR 373 L</t>
      </is>
    </nc>
  </rcc>
  <rcc rId="3412" sId="6">
    <oc r="G93">
      <f>710*(1+CALC!$A$2)</f>
    </oc>
    <nc r="G93"/>
  </rcc>
  <rcc rId="3413" sId="6">
    <oc r="H93">
      <f>3100*(1+CALC!$A$2)</f>
    </oc>
    <nc r="H93"/>
  </rcc>
  <rcc rId="3414" sId="6" numFmtId="34">
    <oc r="K93">
      <v>468</v>
    </oc>
    <nc r="K93">
      <f>168*1.06</f>
    </nc>
  </rcc>
  <rfmt sheetId="6" sqref="K93">
    <dxf>
      <fill>
        <patternFill>
          <bgColor rgb="FF7030A0"/>
        </patternFill>
      </fill>
    </dxf>
  </rfmt>
  <rcc rId="3415" sId="7">
    <oc r="A56" t="inlineStr">
      <is>
        <t>WINGET DUMPER</t>
      </is>
    </oc>
    <nc r="A56" t="inlineStr">
      <is>
        <t>WINGET DUMPER DLG106N</t>
      </is>
    </nc>
  </rcc>
  <rcc rId="3416" sId="7">
    <oc r="B56" t="inlineStr">
      <is>
        <t>DLG 106 N [093]</t>
      </is>
    </oc>
    <nc r="B56" t="inlineStr">
      <is>
        <t>DMY 829 L</t>
      </is>
    </nc>
  </rcc>
  <rcc rId="3417" sId="7" numFmtId="34">
    <oc r="K56">
      <v>240</v>
    </oc>
    <nc r="K56">
      <f>168*1.06</f>
    </nc>
  </rcc>
  <rfmt sheetId="7" sqref="K56">
    <dxf>
      <fill>
        <patternFill>
          <bgColor rgb="FF7030A0"/>
        </patternFill>
      </fill>
    </dxf>
  </rfmt>
</revisions>
</file>

<file path=xl/revisions/revisionLog1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18" sId="6">
    <oc r="A90" t="inlineStr">
      <is>
        <t>FLEXIAN TRAILER</t>
      </is>
    </oc>
    <nc r="A90" t="inlineStr">
      <is>
        <t>FLEXIAN TRAILER DNB886N</t>
      </is>
    </nc>
  </rcc>
  <rcc rId="3419" sId="6">
    <oc r="B90" t="inlineStr">
      <is>
        <t>DNB 886 N [063]</t>
      </is>
    </oc>
    <nc r="B90" t="inlineStr">
      <is>
        <t>DMY 831 L</t>
      </is>
    </nc>
  </rcc>
  <rcc rId="3420" sId="6" numFmtId="34">
    <oc r="K90">
      <v>468</v>
    </oc>
    <nc r="K90">
      <f>168*1.06</f>
    </nc>
  </rcc>
  <rfmt sheetId="6" sqref="K90">
    <dxf>
      <fill>
        <patternFill>
          <bgColor rgb="FF7030A0"/>
        </patternFill>
      </fill>
    </dxf>
  </rfmt>
</revisions>
</file>

<file path=xl/revisions/revisionLog1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21" sId="6">
    <oc r="K111">
      <f>258*1.1</f>
    </oc>
    <nc r="K111">
      <f>258*1.06</f>
    </nc>
  </rcc>
</revisions>
</file>

<file path=xl/revisions/revisionLog1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22" sId="4">
    <oc r="A34" t="inlineStr">
      <is>
        <t>DKN 792 L [105]</t>
      </is>
    </oc>
    <nc r="A34" t="inlineStr">
      <is>
        <t>DKN 794 L [105]</t>
      </is>
    </nc>
  </rcc>
  <rcc rId="3423" sId="4" numFmtId="34">
    <oc r="K34">
      <v>390</v>
    </oc>
    <nc r="K34">
      <f>258*1.06</f>
    </nc>
  </rcc>
  <rfmt sheetId="4" sqref="K34">
    <dxf>
      <fill>
        <patternFill>
          <bgColor rgb="FF7030A0"/>
        </patternFill>
      </fill>
    </dxf>
  </rfmt>
  <rcc rId="3424" sId="4" odxf="1" dxf="1" numFmtId="34">
    <oc r="K35">
      <v>390</v>
    </oc>
    <nc r="K35">
      <f>258*1.06</f>
    </nc>
    <odxf>
      <fill>
        <patternFill>
          <bgColor theme="6"/>
        </patternFill>
      </fill>
    </odxf>
    <ndxf>
      <fill>
        <patternFill>
          <bgColor rgb="FF7030A0"/>
        </patternFill>
      </fill>
    </ndxf>
  </rcc>
  <rcc rId="3425" sId="4">
    <oc r="K33">
      <f>258*1.1</f>
    </oc>
    <nc r="K33">
      <f>258*1.06</f>
    </nc>
  </rcc>
</revisions>
</file>

<file path=xl/revisions/revisionLog1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26" sId="6" numFmtId="4">
    <oc r="D89">
      <v>800</v>
    </oc>
    <nc r="D89">
      <v>0</v>
    </nc>
  </rcc>
  <rcc rId="3427" sId="6">
    <oc r="K16">
      <f>+K14+K15+#REF!</f>
    </oc>
    <nc r="K16">
      <f>SUM(K13:K15)</f>
    </nc>
  </rcc>
</revisions>
</file>

<file path=xl/revisions/revisionLog1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28" sId="9">
    <nc r="B22" t="inlineStr">
      <is>
        <t>Total Insurance</t>
      </is>
    </nc>
  </rcc>
</revisions>
</file>

<file path=xl/revisions/revisionLog1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29" sId="9">
    <nc r="A22" t="inlineStr">
      <is>
        <t>622 500</t>
      </is>
    </nc>
  </rcc>
</revisions>
</file>

<file path=xl/revisions/revisionLog1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30" sId="9" numFmtId="34">
    <oc r="A4">
      <v>25</v>
    </oc>
    <nc r="A4">
      <v>23.5</v>
    </nc>
  </rcc>
  <rcv guid="{DF69299D-7752-4436-A45D-28F739CEE21B}" action="delete"/>
  <rdn rId="0" localSheetId="1" customView="1" name="Z_DF69299D_7752_4436_A45D_28F739CEE21B_.wvu.PrintArea" hidden="1" oldHidden="1">
    <formula>mayor!$A$1:$Q$42</formula>
    <oldFormula>mayor!$A$1:$Q$42</oldFormula>
  </rdn>
  <rdn rId="0" localSheetId="1" customView="1" name="Z_DF69299D_7752_4436_A45D_28F739CEE21B_.wvu.Cols" hidden="1" oldHidden="1">
    <formula>mayor!$P:$P</formula>
    <oldFormula>mayor!$P:$P</oldFormula>
  </rdn>
  <rdn rId="0" localSheetId="1" customView="1" name="Z_DF69299D_7752_4436_A45D_28F739CEE21B_.wvu.FilterData" hidden="1" oldHidden="1">
    <formula>mayor!$A$16:$C$16</formula>
    <oldFormula>mayor!$A$16:$C$16</oldFormula>
  </rdn>
  <rdn rId="0" localSheetId="2" customView="1" name="Z_DF69299D_7752_4436_A45D_28F739CEE21B_.wvu.PrintArea" hidden="1" oldHidden="1">
    <formula>income!$A$1:$Q$16</formula>
    <oldFormula>income!$A$1:$Q$16</oldFormula>
  </rdn>
  <rdn rId="0" localSheetId="2" customView="1" name="Z_DF69299D_7752_4436_A45D_28F739CEE21B_.wvu.Cols" hidden="1" oldHidden="1">
    <formula>income!$P:$P</formula>
    <oldFormula>income!$P:$P</oldFormula>
  </rdn>
  <rdn rId="0" localSheetId="3" customView="1" name="Z_DF69299D_7752_4436_A45D_28F739CEE21B_.wvu.PrintArea" hidden="1" oldHidden="1">
    <formula>workshop!$A$1:$Q$20</formula>
    <oldFormula>workshop!$A$1:$Q$20</oldFormula>
  </rdn>
  <rdn rId="0" localSheetId="3" customView="1" name="Z_DF69299D_7752_4436_A45D_28F739CEE21B_.wvu.Cols" hidden="1" oldHidden="1">
    <formula>workshop!$J:$J,workshop!$P:$P</formula>
    <oldFormula>workshop!$J:$J,workshop!$P:$P</oldFormula>
  </rdn>
  <rdn rId="0" localSheetId="4" customView="1" name="Z_DF69299D_7752_4436_A45D_28F739CEE21B_.wvu.PrintArea" hidden="1" oldHidden="1">
    <formula>'COMMUNITY SERV'!$A$1:$Q$102</formula>
    <oldFormula>'COMMUNITY SERV'!$A$1:$Q$102</oldFormula>
  </rdn>
  <rdn rId="0" localSheetId="4" customView="1" name="Z_DF69299D_7752_4436_A45D_28F739CEE21B_.wvu.Cols" hidden="1" oldHidden="1">
    <formula>'COMMUNITY SERV'!$P:$P</formula>
    <oldFormula>'COMMUNITY SERV'!$P:$P</oldFormula>
  </rdn>
  <rdn rId="0" localSheetId="5" customView="1" name="Z_DF69299D_7752_4436_A45D_28F739CEE21B_.wvu.PrintArea" hidden="1" oldHidden="1">
    <formula>EEM!$A$1:$Q$97</formula>
    <oldFormula>EEM!$A$1:$Q$97</oldFormula>
  </rdn>
  <rdn rId="0" localSheetId="6" customView="1" name="Z_DF69299D_7752_4436_A45D_28F739CEE21B_.wvu.PrintArea" hidden="1" oldHidden="1">
    <formula>CEM!$A$1:$Q$146</formula>
    <oldFormula>CEM!$A$1:$Q$146</oldFormula>
  </rdn>
  <rdn rId="0" localSheetId="6" customView="1" name="Z_DF69299D_7752_4436_A45D_28F739CEE21B_.wvu.Rows" hidden="1" oldHidden="1">
    <formula>CEM!$141:$141</formula>
    <oldFormula>CEM!$141:$141</oldFormula>
  </rdn>
  <rdn rId="0" localSheetId="6" customView="1" name="Z_DF69299D_7752_4436_A45D_28F739CEE21B_.wvu.Cols" hidden="1" oldHidden="1">
    <formula>CEM!$P:$P</formula>
    <oldFormula>CEM!$P:$P</oldFormula>
  </rdn>
  <rdn rId="0" localSheetId="7" customView="1" name="Z_DF69299D_7752_4436_A45D_28F739CEE21B_.wvu.PrintArea" hidden="1" oldHidden="1">
    <formula>MDC!$A$1:$Q$90</formula>
    <oldFormula>MDC!$A$1:$Q$90</oldFormula>
  </rdn>
  <rdn rId="0" localSheetId="7" customView="1" name="Z_DF69299D_7752_4436_A45D_28F739CEE21B_.wvu.Rows" hidden="1" oldHidden="1">
    <formula>MDC!$67:$73</formula>
    <oldFormula>MDC!$67:$73</oldFormula>
  </rdn>
  <rdn rId="0" localSheetId="7" customView="1" name="Z_DF69299D_7752_4436_A45D_28F739CEE21B_.wvu.Cols" hidden="1" oldHidden="1">
    <formula>MDC!$J:$J,MDC!$P:$P</formula>
    <oldFormula>MDC!$J:$J,MDC!$P:$P</oldFormula>
  </rdn>
  <rdn rId="0" localSheetId="8" customView="1" name="Z_DF69299D_7752_4436_A45D_28F739CEE21B_.wvu.PrintArea" hidden="1" oldHidden="1">
    <formula>BUDGET!$A$1:$B$76</formula>
    <oldFormula>BUDGET!$A$1:$B$76</oldFormula>
  </rdn>
  <rdn rId="0" localSheetId="8" customView="1" name="Z_DF69299D_7752_4436_A45D_28F739CEE21B_.wvu.Rows" hidden="1" oldHidden="1">
    <formula>BUDGET!$3:$7,BUDGET!$9:$9,BUDGET!$11:$11,BUDGET!$13:$16,BUDGET!$18:$21,BUDGET!$23:$23,BUDGET!$25:$28,BUDGET!$30:$36,BUDGET!$38:$38,BUDGET!$40:$40,BUDGET!$42:$47,BUDGET!$49:$49,BUDGET!$51:$54,BUDGET!$56:$59,BUDGET!$61:$66,BUDGET!$68:$68,BUDGET!$70:$70</formula>
    <oldFormula>BUDGET!$3:$7,BUDGET!$9:$9,BUDGET!$11:$11,BUDGET!$13:$16,BUDGET!$18:$21,BUDGET!$23:$23,BUDGET!$25:$28,BUDGET!$30:$36,BUDGET!$38:$38,BUDGET!$40:$40,BUDGET!$42:$47,BUDGET!$49:$49,BUDGET!$51:$54,BUDGET!$56:$59,BUDGET!$61:$66,BUDGET!$68:$68,BUDGET!$70:$70</oldFormula>
  </rdn>
  <rdn rId="0" localSheetId="8" customView="1" name="Z_DF69299D_7752_4436_A45D_28F739CEE21B_.wvu.Cols" hidden="1" oldHidden="1">
    <formula>BUDGET!$C:$S</formula>
    <oldFormula>BUDGET!$C:$S</oldFormula>
  </rdn>
  <rdn rId="0" localSheetId="10" customView="1" name="Z_DF69299D_7752_4436_A45D_28F739CEE21B_.wvu.FilterData" hidden="1" oldHidden="1">
    <formula>orig!$A$1:$AN$198</formula>
    <oldFormula>orig!$A$1:$AN$198</oldFormula>
  </rdn>
  <rdn rId="0" localSheetId="11" customView="1" name="Z_DF69299D_7752_4436_A45D_28F739CEE21B_.wvu.Cols" hidden="1" oldHidden="1">
    <formula>'1-10'!$B:$B</formula>
    <oldFormula>'1-10'!$B:$B</oldFormula>
  </rdn>
  <rdn rId="0" localSheetId="11" customView="1" name="Z_DF69299D_7752_4436_A45D_28F739CEE21B_.wvu.FilterData" hidden="1" oldHidden="1">
    <formula>'1-10'!$A$1:$AY$100</formula>
    <oldFormula>'1-10'!$A$1:$AY$100</oldFormula>
  </rdn>
  <rdn rId="0" localSheetId="12" customView="1" name="Z_DF69299D_7752_4436_A45D_28F739CEE21B_.wvu.Rows" hidden="1" oldHidden="1">
    <formula>'new veh 2012'!$96:$97</formula>
    <oldFormula>'new veh 2012'!$96:$97</oldFormula>
  </rdn>
  <rdn rId="0" localSheetId="12" customView="1" name="Z_DF69299D_7752_4436_A45D_28F739CEE21B_.wvu.FilterData" hidden="1" oldHidden="1">
    <formula>'new veh 2012'!$A$1:$J$95</formula>
    <oldFormula>'new veh 2012'!$A$1:$J$95</oldFormula>
  </rdn>
  <rdn rId="0" localSheetId="14" customView="1" name="Z_DF69299D_7752_4436_A45D_28F739CEE21B_.wvu.FilterData" hidden="1" oldHidden="1">
    <formula>stbk!$A$1:$G$199</formula>
    <oldFormula>stbk!$A$1:$G$199</oldFormula>
  </rdn>
  <rcv guid="{DF69299D-7752-4436-A45D-28F739CEE21B}" action="add"/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6" sqref="A21:C21">
    <dxf>
      <fill>
        <patternFill patternType="solid">
          <bgColor rgb="FFFFFF00"/>
        </patternFill>
      </fill>
    </dxf>
  </rfmt>
  <rcc rId="2771" sId="6">
    <nc r="J21" t="inlineStr">
      <is>
        <t>Parks</t>
      </is>
    </nc>
  </rcc>
  <rfmt sheetId="6" sqref="J21" start="0" length="2147483647">
    <dxf>
      <font>
        <color rgb="FFFF0000"/>
      </font>
    </dxf>
  </rfmt>
  <rfmt sheetId="6" sqref="J21">
    <dxf>
      <fill>
        <patternFill patternType="solid">
          <bgColor rgb="FFC00000"/>
        </patternFill>
      </fill>
    </dxf>
  </rfmt>
  <rfmt sheetId="6" sqref="J21" start="0" length="2147483647">
    <dxf>
      <font>
        <color auto="1"/>
      </font>
    </dxf>
  </rfmt>
  <rfmt sheetId="4" sqref="A7:C7">
    <dxf>
      <fill>
        <patternFill patternType="solid">
          <bgColor rgb="FFFFFF00"/>
        </patternFill>
      </fill>
    </dxf>
  </rfmt>
</revisions>
</file>

<file path=xl/revisions/revisionLog1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56" sId="9">
    <oc r="A22" t="inlineStr">
      <is>
        <t>622 500</t>
      </is>
    </oc>
    <nc r="A22">
      <v>622500</v>
    </nc>
  </rcc>
  <rcc rId="3457" sId="6">
    <oc r="G7">
      <f>5481.62*(1+CALC!$A$2)</f>
    </oc>
    <nc r="G7">
      <f>CALC!$A$22*(CEM!K7/CEM!K$146)</f>
    </nc>
  </rcc>
  <rcc rId="3458" sId="6">
    <oc r="G8">
      <f>5481.62*(1+CALC!$A$2)</f>
    </oc>
    <nc r="G8">
      <f>CALC!$A$22*(CEM!K8/CEM!K$146)</f>
    </nc>
  </rcc>
  <rcc rId="3459" sId="6">
    <oc r="G13">
      <f>5481.62*(1+CALC!$A$2)</f>
    </oc>
    <nc r="G13">
      <f>CALC!$A$22*(CEM!K13/CEM!K$146)</f>
    </nc>
  </rcc>
  <rcc rId="3460" sId="6">
    <oc r="G14">
      <f>5481.62*(1+CALC!$A$2)</f>
    </oc>
    <nc r="G14">
      <f>CALC!$A$22*(CEM!K14/CEM!K$146)</f>
    </nc>
  </rcc>
  <rcc rId="3461" sId="6">
    <oc r="G15">
      <f>5481.62*(1+CALC!$A$2)</f>
    </oc>
    <nc r="G15">
      <f>CALC!$A$22*(CEM!K15/CEM!K$146)</f>
    </nc>
  </rcc>
  <rcc rId="3462" sId="6">
    <oc r="G20">
      <f>9000*(1+CALC!$A$2)</f>
    </oc>
    <nc r="G20">
      <f>CALC!$A$22*(CEM!K20/CEM!K$146)</f>
    </nc>
  </rcc>
  <rcc rId="3463" sId="6">
    <oc r="G21">
      <f>9000*(1+CALC!$A$2)</f>
    </oc>
    <nc r="G21">
      <f>CALC!$A$22*(CEM!K21/CEM!K$146)</f>
    </nc>
  </rcc>
  <rcc rId="3464" sId="6">
    <oc r="G22">
      <f>9000*(1+CALC!$A$2)</f>
    </oc>
    <nc r="G22">
      <f>CALC!$A$22*(CEM!K22/CEM!K$146)</f>
    </nc>
  </rcc>
  <rcc rId="3465" sId="6">
    <oc r="G27">
      <f>6057.27*(1+CALC!$A$2)</f>
    </oc>
    <nc r="G27">
      <f>CALC!$A$22*(CEM!K27/CEM!K$146)</f>
    </nc>
  </rcc>
  <rcc rId="3466" sId="6">
    <oc r="G28">
      <f>6057.27*(1+CALC!$A$2)</f>
    </oc>
    <nc r="G28">
      <f>CALC!$A$22*(CEM!K28/CEM!K$146)</f>
    </nc>
  </rcc>
  <rcc rId="3467" sId="6">
    <oc r="G29">
      <f>6057.27*(1+CALC!$A$2)</f>
    </oc>
    <nc r="G29">
      <f>CALC!$A$22*(CEM!K29/CEM!K$146)</f>
    </nc>
  </rcc>
  <rcc rId="3468" sId="6">
    <oc r="G30">
      <f>6057.27*(1+CALC!$A$2)</f>
    </oc>
    <nc r="G30">
      <f>CALC!$A$22*(CEM!K30/CEM!K$146)</f>
    </nc>
  </rcc>
  <rcc rId="3469" sId="6">
    <oc r="G35">
      <f>6057.27*(1+CALC!$A$2)</f>
    </oc>
    <nc r="G35">
      <f>CALC!$A$22*(CEM!K35/CEM!K$146)</f>
    </nc>
  </rcc>
  <rcc rId="3470" sId="6">
    <oc r="G40">
      <f>6057.27*(1+CALC!$A$2)</f>
    </oc>
    <nc r="G40">
      <f>CALC!$A$22*(CEM!K40/CEM!K$146)</f>
    </nc>
  </rcc>
  <rcc rId="3471" sId="6">
    <oc r="G46">
      <f>6057.27*(1+CALC!$A$2)</f>
    </oc>
    <nc r="G46">
      <f>CALC!$A$22*(CEM!K46/CEM!K$146)</f>
    </nc>
  </rcc>
  <rcc rId="3472" sId="6">
    <oc r="G47">
      <f>6057.27*(1+CALC!$A$2)</f>
    </oc>
    <nc r="G47">
      <f>CALC!$A$22*(CEM!K47/CEM!K$146)</f>
    </nc>
  </rcc>
  <rcc rId="3473" sId="6">
    <oc r="G53">
      <f>33000*(1+CALC!$A$2)</f>
    </oc>
    <nc r="G53">
      <f>CALC!$A$22*(CEM!K53/CEM!K$146)</f>
    </nc>
  </rcc>
  <rcc rId="3474" sId="6">
    <oc r="G54">
      <f>33000*(1+CALC!$A$2)</f>
    </oc>
    <nc r="G54">
      <f>CALC!$A$22*(CEM!K54/CEM!K$146)</f>
    </nc>
  </rcc>
  <rcc rId="3475" sId="6">
    <oc r="G55">
      <f>33000*(1+CALC!$A$2)</f>
    </oc>
    <nc r="G55">
      <f>CALC!$A$22*(CEM!K55/CEM!K$146)</f>
    </nc>
  </rcc>
  <rcc rId="3476" sId="6">
    <oc r="G60">
      <f>33000*(1+CALC!$A$2)</f>
    </oc>
    <nc r="G60">
      <f>CALC!$A$22*(CEM!K60/CEM!K$146)</f>
    </nc>
  </rcc>
  <rcc rId="3477" sId="6">
    <oc r="G61">
      <f>33000*(1+CALC!$A$2)</f>
    </oc>
    <nc r="G61">
      <f>CALC!$A$22*(CEM!K61/CEM!K$146)</f>
    </nc>
  </rcc>
  <rcc rId="3478" sId="6">
    <oc r="G66">
      <f>33000*(1+CALC!$A$2)</f>
    </oc>
    <nc r="G66">
      <f>CALC!$A$22*(CEM!K66/CEM!K$146)</f>
    </nc>
  </rcc>
  <rcc rId="3479" sId="6">
    <oc r="G67">
      <f>33000*(1+CALC!$A$2)</f>
    </oc>
    <nc r="G67">
      <f>CALC!$A$22*(CEM!K67/CEM!K$146)</f>
    </nc>
  </rcc>
  <rcc rId="3480" sId="6" numFmtId="34">
    <oc r="K66">
      <v>0</v>
    </oc>
    <nc r="K66">
      <f>168*1.06</f>
    </nc>
  </rcc>
  <rcc rId="3481" sId="6" numFmtId="34">
    <oc r="K67">
      <v>0</v>
    </oc>
    <nc r="K67">
      <f>168*1.06</f>
    </nc>
  </rcc>
</revisions>
</file>

<file path=xl/revisions/revisionLog1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82" sId="6">
    <oc r="G7">
      <f>CALC!$A$22*(CEM!K7/CEM!K$146)</f>
    </oc>
    <nc r="G7">
      <f>CALC!$A$22*(CEM!I7/CEM!I$146)</f>
    </nc>
  </rcc>
  <rcc rId="3483" sId="6">
    <oc r="G8">
      <f>CALC!$A$22*(CEM!K8/CEM!K$146)</f>
    </oc>
    <nc r="G8">
      <f>CALC!$A$22*(CEM!I8/CEM!I$146)</f>
    </nc>
  </rcc>
  <rcc rId="3484" sId="6">
    <oc r="G13">
      <f>CALC!$A$22*(CEM!K13/CEM!K$146)</f>
    </oc>
    <nc r="G13">
      <f>CALC!$A$22*(CEM!I13/CEM!I$146)</f>
    </nc>
  </rcc>
  <rcc rId="3485" sId="6">
    <oc r="G14">
      <f>CALC!$A$22*(CEM!K14/CEM!K$146)</f>
    </oc>
    <nc r="G14">
      <f>CALC!$A$22*(CEM!I14/CEM!I$146)</f>
    </nc>
  </rcc>
  <rcc rId="3486" sId="6">
    <oc r="G15">
      <f>CALC!$A$22*(CEM!K15/CEM!K$146)</f>
    </oc>
    <nc r="G15">
      <f>CALC!$A$22*(CEM!I15/CEM!I$146)</f>
    </nc>
  </rcc>
  <rcc rId="3487" sId="6">
    <oc r="G20">
      <f>CALC!$A$22*(CEM!K20/CEM!K$146)</f>
    </oc>
    <nc r="G20">
      <f>CALC!$A$22*(CEM!I20/CEM!I$146)</f>
    </nc>
  </rcc>
  <rcc rId="3488" sId="6">
    <oc r="G21">
      <f>CALC!$A$22*(CEM!K21/CEM!K$146)</f>
    </oc>
    <nc r="G21">
      <f>CALC!$A$22*(CEM!I21/CEM!I$146)</f>
    </nc>
  </rcc>
  <rcc rId="3489" sId="6">
    <oc r="G22">
      <f>CALC!$A$22*(CEM!K22/CEM!K$146)</f>
    </oc>
    <nc r="G22">
      <f>CALC!$A$22*(CEM!I22/CEM!I$146)</f>
    </nc>
  </rcc>
  <rcc rId="3490" sId="6">
    <oc r="G27">
      <f>CALC!$A$22*(CEM!K27/CEM!K$146)</f>
    </oc>
    <nc r="G27">
      <f>CALC!$A$22*(CEM!I27/CEM!I$146)</f>
    </nc>
  </rcc>
  <rcc rId="3491" sId="6">
    <oc r="G28">
      <f>CALC!$A$22*(CEM!K28/CEM!K$146)</f>
    </oc>
    <nc r="G28">
      <f>CALC!$A$22*(CEM!I28/CEM!I$146)</f>
    </nc>
  </rcc>
  <rcc rId="3492" sId="6">
    <oc r="G29">
      <f>CALC!$A$22*(CEM!K29/CEM!K$146)</f>
    </oc>
    <nc r="G29">
      <f>CALC!$A$22*(CEM!I29/CEM!I$146)</f>
    </nc>
  </rcc>
  <rcc rId="3493" sId="6">
    <oc r="G30">
      <f>CALC!$A$22*(CEM!K30/CEM!K$146)</f>
    </oc>
    <nc r="G30">
      <f>CALC!$A$22*(CEM!I30/CEM!I$146)</f>
    </nc>
  </rcc>
  <rcc rId="3494" sId="6">
    <oc r="G35">
      <f>CALC!$A$22*(CEM!K35/CEM!K$146)</f>
    </oc>
    <nc r="G35">
      <f>CALC!$A$22*(CEM!I35/CEM!I$146)</f>
    </nc>
  </rcc>
  <rcc rId="3495" sId="6">
    <oc r="G40">
      <f>CALC!$A$22*(CEM!K40/CEM!K$146)</f>
    </oc>
    <nc r="G40">
      <f>CALC!$A$22*(CEM!I40/CEM!I$146)</f>
    </nc>
  </rcc>
  <rcc rId="3496" sId="6">
    <oc r="G46">
      <f>CALC!$A$22*(CEM!K46/CEM!K$146)</f>
    </oc>
    <nc r="G46">
      <f>CALC!$A$22*(CEM!I46/CEM!I$146)</f>
    </nc>
  </rcc>
  <rcc rId="3497" sId="6">
    <oc r="G47">
      <f>CALC!$A$22*(CEM!K47/CEM!K$146)</f>
    </oc>
    <nc r="G47">
      <f>CALC!$A$22*(CEM!I47/CEM!I$146)</f>
    </nc>
  </rcc>
  <rcc rId="3498" sId="6">
    <oc r="G53">
      <f>CALC!$A$22*(CEM!K53/CEM!K$146)</f>
    </oc>
    <nc r="G53">
      <f>CALC!$A$22*(CEM!I53/CEM!I$146)</f>
    </nc>
  </rcc>
  <rcc rId="3499" sId="6">
    <oc r="G54">
      <f>CALC!$A$22*(CEM!K54/CEM!K$146)</f>
    </oc>
    <nc r="G54">
      <f>CALC!$A$22*(CEM!I54/CEM!I$146)</f>
    </nc>
  </rcc>
  <rcc rId="3500" sId="6">
    <oc r="G55">
      <f>CALC!$A$22*(CEM!K55/CEM!K$146)</f>
    </oc>
    <nc r="G55">
      <f>CALC!$A$22*(CEM!I55/CEM!I$146)</f>
    </nc>
  </rcc>
  <rcc rId="3501" sId="6">
    <oc r="G60">
      <f>CALC!$A$22*(CEM!K60/CEM!K$146)</f>
    </oc>
    <nc r="G60">
      <f>CALC!$A$22*(CEM!I60/CEM!I$146)</f>
    </nc>
  </rcc>
  <rcc rId="3502" sId="6">
    <oc r="G61">
      <f>CALC!$A$22*(CEM!K61/CEM!K$146)</f>
    </oc>
    <nc r="G61">
      <f>CALC!$A$22*(CEM!I61/CEM!I$146)</f>
    </nc>
  </rcc>
  <rcc rId="3503" sId="6">
    <oc r="G66">
      <f>CALC!$A$22*(CEM!K66/CEM!K$146)</f>
    </oc>
    <nc r="G66">
      <f>CALC!$A$22*(CEM!I66/CEM!I$146)</f>
    </nc>
  </rcc>
  <rcc rId="3504" sId="6">
    <oc r="G67">
      <f>CALC!$A$22*(CEM!K67/CEM!K$146)</f>
    </oc>
    <nc r="G67">
      <f>CALC!$A$22*(CEM!I67/CEM!I$146)</f>
    </nc>
  </rcc>
  <rcc rId="3505" sId="6">
    <oc r="G72">
      <f>33000*(1+CALC!$A$2)</f>
    </oc>
    <nc r="G72">
      <f>CALC!$A$22*(CEM!I72/CEM!I$146)</f>
    </nc>
  </rcc>
  <rcc rId="3506" sId="6">
    <oc r="G73">
      <f>33000*(1+CALC!$A$2)</f>
    </oc>
    <nc r="G73">
      <f>CALC!$A$22*(CEM!I73/CEM!I$146)</f>
    </nc>
  </rcc>
  <rcc rId="3507" sId="6">
    <oc r="G78">
      <f>6058*(1+CALC!$A$2)</f>
    </oc>
    <nc r="G78">
      <f>CALC!$A$22*(CEM!I78/CEM!I$146)</f>
    </nc>
  </rcc>
  <rcc rId="3508" sId="6">
    <oc r="G79">
      <f>6058*(1+CALC!$A$2)</f>
    </oc>
    <nc r="G79">
      <f>CALC!$A$22*(CEM!I79/CEM!I$146)</f>
    </nc>
  </rcc>
  <rcc rId="3509" sId="6">
    <oc r="G80">
      <f>6058*(1+CALC!$A$2)</f>
    </oc>
    <nc r="G80">
      <f>CALC!$A$22*(CEM!I80/CEM!I$146)</f>
    </nc>
  </rcc>
  <rcc rId="3510" sId="6">
    <oc r="G81">
      <f>6058*(1+CALC!$A$2)</f>
    </oc>
    <nc r="G81">
      <f>CALC!$A$22*(CEM!I81/CEM!I$146)</f>
    </nc>
  </rcc>
  <rcc rId="3511" sId="6" odxf="1" dxf="1">
    <oc r="G87">
      <f>800*(1+CALC!$A$2)</f>
    </oc>
    <nc r="G87">
      <f>CALC!$A$22*(CEM!I87/CEM!I$146)</f>
    </nc>
    <odxf>
      <fill>
        <patternFill patternType="solid">
          <bgColor theme="6"/>
        </patternFill>
      </fill>
    </odxf>
    <ndxf>
      <fill>
        <patternFill patternType="none">
          <bgColor indexed="65"/>
        </patternFill>
      </fill>
    </ndxf>
  </rcc>
  <rcc rId="3512" sId="6" odxf="1" dxf="1">
    <oc r="G88">
      <f>1800*(1+CALC!$A$2)</f>
    </oc>
    <nc r="G88">
      <f>CALC!$A$22*(CEM!I88/CEM!I$146)</f>
    </nc>
    <odxf>
      <fill>
        <patternFill patternType="solid">
          <bgColor theme="6"/>
        </patternFill>
      </fill>
    </odxf>
    <ndxf>
      <fill>
        <patternFill patternType="none">
          <bgColor indexed="65"/>
        </patternFill>
      </fill>
    </ndxf>
  </rcc>
  <rcc rId="3513" sId="6" odxf="1" dxf="1">
    <oc r="G89">
      <f>710*(1+CALC!$A$2)</f>
    </oc>
    <nc r="G89">
      <f>CALC!$A$22*(CEM!I89/CEM!I$146)</f>
    </nc>
    <odxf>
      <fill>
        <patternFill patternType="solid">
          <bgColor theme="6"/>
        </patternFill>
      </fill>
    </odxf>
    <ndxf>
      <fill>
        <patternFill patternType="none">
          <bgColor indexed="65"/>
        </patternFill>
      </fill>
    </ndxf>
  </rcc>
  <rcc rId="3514" sId="6" odxf="1" dxf="1">
    <oc r="G90">
      <f>710*(1+CALC!$A$2)</f>
    </oc>
    <nc r="G90">
      <f>CALC!$A$22*(CEM!I90/CEM!I$146)</f>
    </nc>
    <odxf>
      <fill>
        <patternFill patternType="solid">
          <bgColor theme="6"/>
        </patternFill>
      </fill>
    </odxf>
    <ndxf>
      <fill>
        <patternFill patternType="none">
          <bgColor indexed="65"/>
        </patternFill>
      </fill>
    </ndxf>
  </rcc>
  <rcc rId="3515" sId="6" odxf="1" dxf="1">
    <oc r="G91">
      <f>710*(1+CALC!$A$2)</f>
    </oc>
    <nc r="G91">
      <f>CALC!$A$22*(CEM!I91/CEM!I$146)</f>
    </nc>
    <odxf>
      <fill>
        <patternFill patternType="solid">
          <bgColor theme="6"/>
        </patternFill>
      </fill>
    </odxf>
    <ndxf>
      <fill>
        <patternFill patternType="none">
          <bgColor indexed="65"/>
        </patternFill>
      </fill>
    </ndxf>
  </rcc>
  <rcc rId="3516" sId="6" odxf="1" dxf="1">
    <oc r="G92">
      <f>710*(1+CALC!$A$2)</f>
    </oc>
    <nc r="G92">
      <f>CALC!$A$22*(CEM!I92/CEM!I$146)</f>
    </nc>
    <odxf>
      <fill>
        <patternFill patternType="solid">
          <bgColor theme="6"/>
        </patternFill>
      </fill>
    </odxf>
    <ndxf>
      <fill>
        <patternFill patternType="none">
          <bgColor indexed="65"/>
        </patternFill>
      </fill>
    </ndxf>
  </rcc>
  <rcc rId="3517" sId="6" odxf="1" dxf="1">
    <nc r="G93">
      <f>CALC!$A$22*(CEM!I93/CEM!I$146)</f>
    </nc>
    <odxf>
      <fill>
        <patternFill patternType="solid">
          <bgColor theme="6"/>
        </patternFill>
      </fill>
    </odxf>
    <ndxf>
      <fill>
        <patternFill patternType="none">
          <bgColor indexed="65"/>
        </patternFill>
      </fill>
    </ndxf>
  </rcc>
  <rcc rId="3518" sId="6" odxf="1" dxf="1" numFmtId="34">
    <oc r="G94">
      <v>0</v>
    </oc>
    <nc r="G94">
      <f>CALC!$A$22*(CEM!I94/CEM!I$146)</f>
    </nc>
    <odxf>
      <fill>
        <patternFill patternType="solid">
          <bgColor theme="6"/>
        </patternFill>
      </fill>
    </odxf>
    <ndxf>
      <fill>
        <patternFill patternType="none">
          <bgColor indexed="65"/>
        </patternFill>
      </fill>
    </ndxf>
  </rcc>
  <rcc rId="3519" sId="6" odxf="1" dxf="1" numFmtId="34">
    <oc r="G95">
      <v>0</v>
    </oc>
    <nc r="G95">
      <f>CALC!$A$22*(CEM!I95/CEM!I$146)</f>
    </nc>
    <odxf>
      <fill>
        <patternFill patternType="solid">
          <bgColor theme="6"/>
        </patternFill>
      </fill>
    </odxf>
    <ndxf>
      <fill>
        <patternFill patternType="none">
          <bgColor indexed="65"/>
        </patternFill>
      </fill>
    </ndxf>
  </rcc>
  <rcc rId="3520" sId="6" odxf="1" dxf="1" numFmtId="34">
    <oc r="G96">
      <v>0</v>
    </oc>
    <nc r="G96">
      <f>CALC!$A$22*(CEM!I96/CEM!I$146)</f>
    </nc>
    <odxf>
      <fill>
        <patternFill patternType="solid">
          <bgColor theme="6"/>
        </patternFill>
      </fill>
    </odxf>
    <ndxf>
      <fill>
        <patternFill patternType="none">
          <bgColor indexed="65"/>
        </patternFill>
      </fill>
    </ndxf>
  </rcc>
  <rcc rId="3521" sId="6" odxf="1" dxf="1">
    <oc r="G97">
      <f>3000*(1+CALC!$A$2)</f>
    </oc>
    <nc r="G97">
      <f>CALC!$A$22*(CEM!I97/CEM!I$146)</f>
    </nc>
    <odxf>
      <fill>
        <patternFill patternType="solid">
          <bgColor theme="6"/>
        </patternFill>
      </fill>
    </odxf>
    <ndxf>
      <fill>
        <patternFill patternType="none">
          <bgColor indexed="65"/>
        </patternFill>
      </fill>
    </ndxf>
  </rcc>
  <rcc rId="3522" sId="6" odxf="1" dxf="1">
    <oc r="G98">
      <f>800*(1+CALC!$A$2)</f>
    </oc>
    <nc r="G98">
      <f>CALC!$A$22*(CEM!I98/CEM!I$146)</f>
    </nc>
    <odxf>
      <fill>
        <patternFill patternType="solid">
          <bgColor theme="6"/>
        </patternFill>
      </fill>
    </odxf>
    <ndxf>
      <fill>
        <patternFill patternType="none">
          <bgColor indexed="65"/>
        </patternFill>
      </fill>
    </ndxf>
  </rcc>
  <rcc rId="3523" sId="6" odxf="1" dxf="1">
    <oc r="G99">
      <f>800*(1+CALC!$A$2)</f>
    </oc>
    <nc r="G99">
      <f>CALC!$A$22*(CEM!I99/CEM!I$146)</f>
    </nc>
    <odxf>
      <fill>
        <patternFill patternType="solid">
          <bgColor theme="6"/>
        </patternFill>
      </fill>
    </odxf>
    <ndxf>
      <fill>
        <patternFill patternType="none">
          <bgColor indexed="65"/>
        </patternFill>
      </fill>
    </ndxf>
  </rcc>
  <rcc rId="3524" sId="6" odxf="1" dxf="1">
    <oc r="G100">
      <f>800*(1+CALC!$A$2)</f>
    </oc>
    <nc r="G100">
      <f>CALC!$A$22*(CEM!I100/CEM!I$146)</f>
    </nc>
    <odxf>
      <fill>
        <patternFill patternType="solid">
          <bgColor theme="6"/>
        </patternFill>
      </fill>
    </odxf>
    <ndxf>
      <fill>
        <patternFill patternType="none">
          <bgColor indexed="65"/>
        </patternFill>
      </fill>
    </ndxf>
  </rcc>
  <rcc rId="3525" sId="6" odxf="1" dxf="1">
    <oc r="G101">
      <f>800*(1+CALC!$A$2)</f>
    </oc>
    <nc r="G101">
      <f>CALC!$A$22*(CEM!I101/CEM!I$146)</f>
    </nc>
    <odxf>
      <fill>
        <patternFill patternType="solid">
          <bgColor theme="6"/>
        </patternFill>
      </fill>
    </odxf>
    <ndxf>
      <fill>
        <patternFill patternType="none">
          <bgColor indexed="65"/>
        </patternFill>
      </fill>
    </ndxf>
  </rcc>
  <rcc rId="3526" sId="6" odxf="1" dxf="1">
    <oc r="G109">
      <f>3000*(1+CALC!$A$2)</f>
    </oc>
    <nc r="G109">
      <f>CALC!$A$22*(CEM!I109/CEM!I$146)</f>
    </nc>
    <odxf>
      <fill>
        <patternFill patternType="solid">
          <bgColor theme="6"/>
        </patternFill>
      </fill>
    </odxf>
    <ndxf>
      <fill>
        <patternFill patternType="none">
          <bgColor indexed="65"/>
        </patternFill>
      </fill>
    </ndxf>
  </rcc>
  <rcc rId="3527" sId="6" odxf="1" dxf="1">
    <oc r="G110">
      <f>756*(1+CALC!$A$2)</f>
    </oc>
    <nc r="G110">
      <f>CALC!$A$22*(CEM!I110/CEM!I$146)</f>
    </nc>
    <odxf>
      <fill>
        <patternFill patternType="solid">
          <bgColor theme="6"/>
        </patternFill>
      </fill>
    </odxf>
    <ndxf>
      <fill>
        <patternFill patternType="none">
          <bgColor indexed="65"/>
        </patternFill>
      </fill>
    </ndxf>
  </rcc>
  <rcc rId="3528" sId="6" odxf="1" dxf="1">
    <oc r="G111">
      <f>756*(1+CALC!$A$2)</f>
    </oc>
    <nc r="G111">
      <f>CALC!$A$22*(CEM!I111/CEM!I$146)</f>
    </nc>
    <odxf>
      <fill>
        <patternFill patternType="solid">
          <bgColor theme="6"/>
        </patternFill>
      </fill>
    </odxf>
    <ndxf>
      <fill>
        <patternFill patternType="none">
          <bgColor indexed="65"/>
        </patternFill>
      </fill>
    </ndxf>
  </rcc>
  <rcc rId="3529" sId="6" odxf="1" dxf="1">
    <oc r="G116">
      <f>800*(1+CALC!$A$2)</f>
    </oc>
    <nc r="G116">
      <f>CALC!$A$22*(CEM!I116/CEM!I$146)</f>
    </nc>
    <odxf>
      <fill>
        <patternFill patternType="solid">
          <bgColor theme="6"/>
        </patternFill>
      </fill>
    </odxf>
    <ndxf>
      <fill>
        <patternFill patternType="none">
          <bgColor indexed="65"/>
        </patternFill>
      </fill>
    </ndxf>
  </rcc>
  <rcc rId="3530" sId="6" odxf="1" dxf="1">
    <oc r="G117">
      <f>800*(1+CALC!$A$2)</f>
    </oc>
    <nc r="G117">
      <f>CALC!$A$22*(CEM!I117/CEM!I$146)</f>
    </nc>
    <odxf>
      <fill>
        <patternFill patternType="solid">
          <bgColor theme="6"/>
        </patternFill>
      </fill>
    </odxf>
    <ndxf>
      <fill>
        <patternFill patternType="none">
          <bgColor indexed="65"/>
        </patternFill>
      </fill>
    </ndxf>
  </rcc>
  <rfmt sheetId="1" sqref="G34" start="0" length="0">
    <dxf>
      <fill>
        <patternFill patternType="none">
          <bgColor indexed="65"/>
        </patternFill>
      </fill>
    </dxf>
  </rfmt>
  <rcc rId="3531" sId="1" odxf="1" dxf="1">
    <oc r="G40">
      <f>+G8+G16</f>
    </oc>
    <nc r="G40">
      <f>CALC!$A$22*(CEM!I40/CEM!I$146)</f>
    </nc>
    <odxf>
      <font>
        <b/>
        <sz val="8"/>
        <name val="Consolas"/>
        <family val="3"/>
      </font>
      <fill>
        <patternFill patternType="solid">
          <bgColor theme="2"/>
        </patternFill>
      </fill>
      <alignment horizontal="center" vertical="top"/>
      <border outline="0">
        <top style="medium">
          <color indexed="64"/>
        </top>
        <bottom style="medium">
          <color indexed="64"/>
        </bottom>
      </border>
    </odxf>
    <ndxf>
      <font>
        <b val="0"/>
        <sz val="8"/>
        <name val="Consolas"/>
        <family val="3"/>
      </font>
      <fill>
        <patternFill patternType="none">
          <bgColor indexed="65"/>
        </patternFill>
      </fill>
      <alignment horizontal="general" vertical="bottom"/>
      <border outline="0">
        <top style="thin">
          <color indexed="64"/>
        </top>
        <bottom style="thin">
          <color indexed="64"/>
        </bottom>
      </border>
    </ndxf>
  </rcc>
  <rcc rId="3532" sId="1">
    <oc r="G8">
      <f>5500*(1+CALC!A2)</f>
    </oc>
    <nc r="G8">
      <f>CALC!$A$22*(I8/CEM!I$146)</f>
    </nc>
  </rcc>
  <rcc rId="3533" sId="1">
    <oc r="G9">
      <f>5500*(1+CALC!$A$2)</f>
    </oc>
    <nc r="G9">
      <f>CALC!$A$22*(I9/CEM!I$146)</f>
    </nc>
  </rcc>
  <rcc rId="3534" sId="1">
    <oc r="G15">
      <f>5300*(1+CALC!$A$2)</f>
    </oc>
    <nc r="G15">
      <f>CALC!$A$22*(I15/CEM!I$146)</f>
    </nc>
  </rcc>
  <rcc rId="3535" sId="1">
    <oc r="G16">
      <f>5300*(1+CALC!$A$2)</f>
    </oc>
    <nc r="G16">
      <f>CALC!$A$22*(I16/CEM!I$146)</f>
    </nc>
  </rcc>
  <rcc rId="3536" sId="1">
    <oc r="G22">
      <f>5300*(1+CALC!$A$2)</f>
    </oc>
    <nc r="G22">
      <f>CALC!$A$22*(I22/CEM!I$146)</f>
    </nc>
  </rcc>
  <rcc rId="3537" sId="1">
    <oc r="G34">
      <f>31000*(1+CALC!$A$2)</f>
    </oc>
    <nc r="G34">
      <f>CALC!$A$22*(I34/CEM!I$146)</f>
    </nc>
  </rcc>
  <rcc rId="3538" sId="2">
    <oc r="G9">
      <f>5482*(1+CALC!$A$2)</f>
    </oc>
    <nc r="G9">
      <f>CALC!$A$22*(I9/CEM!I$146)</f>
    </nc>
  </rcc>
  <rcc rId="3539" sId="2">
    <oc r="G10">
      <f>5482*(1+CALC!$A$2)</f>
    </oc>
    <nc r="G10">
      <f>CALC!$A$22*(I10/CEM!I$146)</f>
    </nc>
  </rcc>
  <rcc rId="3540" sId="4" odxf="1" dxf="1">
    <oc r="G7">
      <f>5482*(1+CALC!$A$2)</f>
    </oc>
    <nc r="G7">
      <f>CALC!$A$22*(I7/CEM!I$146)</f>
    </nc>
    <odxf/>
    <ndxf/>
  </rcc>
  <rcc rId="3541" sId="4">
    <oc r="G13">
      <f>6057.27*(1+CALC!$A$2)</f>
    </oc>
    <nc r="G13">
      <f>CALC!$A$22*(I13/CEM!I$146)</f>
    </nc>
  </rcc>
  <rcc rId="3542" sId="4">
    <oc r="G14">
      <f>6057.27*(1+CALC!$A$2)</f>
    </oc>
    <nc r="G14">
      <f>CALC!$A$22*(I14/CEM!I$146)</f>
    </nc>
  </rcc>
  <rcc rId="3543" sId="4">
    <oc r="G20">
      <f>6057.27*(1+CALC!$A$2)</f>
    </oc>
    <nc r="G20">
      <f>CALC!$A$22*(I20/CEM!I$146)</f>
    </nc>
  </rcc>
  <rcc rId="3544" sId="4">
    <oc r="G21">
      <f>6057.27*(1+CALC!$A$2)</f>
    </oc>
    <nc r="G21">
      <f>CALC!$A$22*(I21/CEM!I$146)</f>
    </nc>
  </rcc>
</revisions>
</file>

<file path=xl/revisions/revisionLog1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DF69299D-7752-4436-A45D-28F739CEE21B}" action="delete"/>
  <rdn rId="0" localSheetId="1" customView="1" name="Z_DF69299D_7752_4436_A45D_28F739CEE21B_.wvu.PrintArea" hidden="1" oldHidden="1">
    <formula>mayor!$A$1:$Q$42</formula>
    <oldFormula>mayor!$A$1:$Q$42</oldFormula>
  </rdn>
  <rdn rId="0" localSheetId="1" customView="1" name="Z_DF69299D_7752_4436_A45D_28F739CEE21B_.wvu.Cols" hidden="1" oldHidden="1">
    <formula>mayor!$P:$P</formula>
    <oldFormula>mayor!$P:$P</oldFormula>
  </rdn>
  <rdn rId="0" localSheetId="1" customView="1" name="Z_DF69299D_7752_4436_A45D_28F739CEE21B_.wvu.FilterData" hidden="1" oldHidden="1">
    <formula>mayor!$A$16:$C$16</formula>
    <oldFormula>mayor!$A$16:$C$16</oldFormula>
  </rdn>
  <rdn rId="0" localSheetId="2" customView="1" name="Z_DF69299D_7752_4436_A45D_28F739CEE21B_.wvu.PrintArea" hidden="1" oldHidden="1">
    <formula>income!$A$1:$Q$16</formula>
    <oldFormula>income!$A$1:$Q$16</oldFormula>
  </rdn>
  <rdn rId="0" localSheetId="2" customView="1" name="Z_DF69299D_7752_4436_A45D_28F739CEE21B_.wvu.Cols" hidden="1" oldHidden="1">
    <formula>income!$P:$P</formula>
    <oldFormula>income!$P:$P</oldFormula>
  </rdn>
  <rdn rId="0" localSheetId="3" customView="1" name="Z_DF69299D_7752_4436_A45D_28F739CEE21B_.wvu.PrintArea" hidden="1" oldHidden="1">
    <formula>workshop!$A$1:$Q$20</formula>
    <oldFormula>workshop!$A$1:$Q$20</oldFormula>
  </rdn>
  <rdn rId="0" localSheetId="3" customView="1" name="Z_DF69299D_7752_4436_A45D_28F739CEE21B_.wvu.Cols" hidden="1" oldHidden="1">
    <formula>workshop!$J:$J,workshop!$P:$P</formula>
    <oldFormula>workshop!$J:$J,workshop!$P:$P</oldFormula>
  </rdn>
  <rdn rId="0" localSheetId="4" customView="1" name="Z_DF69299D_7752_4436_A45D_28F739CEE21B_.wvu.PrintArea" hidden="1" oldHidden="1">
    <formula>'COMMUNITY SERV'!$A$1:$Q$102</formula>
    <oldFormula>'COMMUNITY SERV'!$A$1:$Q$102</oldFormula>
  </rdn>
  <rdn rId="0" localSheetId="4" customView="1" name="Z_DF69299D_7752_4436_A45D_28F739CEE21B_.wvu.Cols" hidden="1" oldHidden="1">
    <formula>'COMMUNITY SERV'!$P:$P</formula>
    <oldFormula>'COMMUNITY SERV'!$P:$P</oldFormula>
  </rdn>
  <rdn rId="0" localSheetId="5" customView="1" name="Z_DF69299D_7752_4436_A45D_28F739CEE21B_.wvu.PrintArea" hidden="1" oldHidden="1">
    <formula>EEM!$A$1:$Q$97</formula>
    <oldFormula>EEM!$A$1:$Q$97</oldFormula>
  </rdn>
  <rdn rId="0" localSheetId="6" customView="1" name="Z_DF69299D_7752_4436_A45D_28F739CEE21B_.wvu.PrintArea" hidden="1" oldHidden="1">
    <formula>CEM!$A$1:$Q$146</formula>
    <oldFormula>CEM!$A$1:$Q$146</oldFormula>
  </rdn>
  <rdn rId="0" localSheetId="6" customView="1" name="Z_DF69299D_7752_4436_A45D_28F739CEE21B_.wvu.Rows" hidden="1" oldHidden="1">
    <formula>CEM!$141:$141</formula>
    <oldFormula>CEM!$141:$141</oldFormula>
  </rdn>
  <rdn rId="0" localSheetId="6" customView="1" name="Z_DF69299D_7752_4436_A45D_28F739CEE21B_.wvu.Cols" hidden="1" oldHidden="1">
    <formula>CEM!$P:$P</formula>
    <oldFormula>CEM!$P:$P</oldFormula>
  </rdn>
  <rdn rId="0" localSheetId="7" customView="1" name="Z_DF69299D_7752_4436_A45D_28F739CEE21B_.wvu.PrintArea" hidden="1" oldHidden="1">
    <formula>MDC!$A$1:$Q$90</formula>
    <oldFormula>MDC!$A$1:$Q$90</oldFormula>
  </rdn>
  <rdn rId="0" localSheetId="7" customView="1" name="Z_DF69299D_7752_4436_A45D_28F739CEE21B_.wvu.Rows" hidden="1" oldHidden="1">
    <formula>MDC!$67:$73</formula>
    <oldFormula>MDC!$67:$73</oldFormula>
  </rdn>
  <rdn rId="0" localSheetId="7" customView="1" name="Z_DF69299D_7752_4436_A45D_28F739CEE21B_.wvu.Cols" hidden="1" oldHidden="1">
    <formula>MDC!$J:$J,MDC!$P:$P</formula>
    <oldFormula>MDC!$J:$J,MDC!$P:$P</oldFormula>
  </rdn>
  <rdn rId="0" localSheetId="8" customView="1" name="Z_DF69299D_7752_4436_A45D_28F739CEE21B_.wvu.PrintArea" hidden="1" oldHidden="1">
    <formula>BUDGET!$A$1:$B$76</formula>
    <oldFormula>BUDGET!$A$1:$B$76</oldFormula>
  </rdn>
  <rdn rId="0" localSheetId="8" customView="1" name="Z_DF69299D_7752_4436_A45D_28F739CEE21B_.wvu.Rows" hidden="1" oldHidden="1">
    <formula>BUDGET!$3:$7,BUDGET!$9:$9,BUDGET!$11:$11,BUDGET!$13:$16,BUDGET!$18:$21,BUDGET!$23:$23,BUDGET!$25:$28,BUDGET!$30:$36,BUDGET!$38:$38,BUDGET!$40:$40,BUDGET!$42:$47,BUDGET!$49:$49,BUDGET!$51:$54,BUDGET!$56:$59,BUDGET!$61:$66,BUDGET!$68:$68,BUDGET!$70:$70</formula>
    <oldFormula>BUDGET!$3:$7,BUDGET!$9:$9,BUDGET!$11:$11,BUDGET!$13:$16,BUDGET!$18:$21,BUDGET!$23:$23,BUDGET!$25:$28,BUDGET!$30:$36,BUDGET!$38:$38,BUDGET!$40:$40,BUDGET!$42:$47,BUDGET!$49:$49,BUDGET!$51:$54,BUDGET!$56:$59,BUDGET!$61:$66,BUDGET!$68:$68,BUDGET!$70:$70</oldFormula>
  </rdn>
  <rdn rId="0" localSheetId="8" customView="1" name="Z_DF69299D_7752_4436_A45D_28F739CEE21B_.wvu.Cols" hidden="1" oldHidden="1">
    <formula>BUDGET!$C:$S</formula>
    <oldFormula>BUDGET!$C:$S</oldFormula>
  </rdn>
  <rdn rId="0" localSheetId="10" customView="1" name="Z_DF69299D_7752_4436_A45D_28F739CEE21B_.wvu.FilterData" hidden="1" oldHidden="1">
    <formula>orig!$A$1:$AN$198</formula>
    <oldFormula>orig!$A$1:$AN$198</oldFormula>
  </rdn>
  <rdn rId="0" localSheetId="11" customView="1" name="Z_DF69299D_7752_4436_A45D_28F739CEE21B_.wvu.Cols" hidden="1" oldHidden="1">
    <formula>'1-10'!$B:$B</formula>
    <oldFormula>'1-10'!$B:$B</oldFormula>
  </rdn>
  <rdn rId="0" localSheetId="11" customView="1" name="Z_DF69299D_7752_4436_A45D_28F739CEE21B_.wvu.FilterData" hidden="1" oldHidden="1">
    <formula>'1-10'!$A$1:$AY$100</formula>
    <oldFormula>'1-10'!$A$1:$AY$100</oldFormula>
  </rdn>
  <rdn rId="0" localSheetId="12" customView="1" name="Z_DF69299D_7752_4436_A45D_28F739CEE21B_.wvu.Rows" hidden="1" oldHidden="1">
    <formula>'new veh 2012'!$96:$97</formula>
    <oldFormula>'new veh 2012'!$96:$97</oldFormula>
  </rdn>
  <rdn rId="0" localSheetId="12" customView="1" name="Z_DF69299D_7752_4436_A45D_28F739CEE21B_.wvu.FilterData" hidden="1" oldHidden="1">
    <formula>'new veh 2012'!$A$1:$J$95</formula>
    <oldFormula>'new veh 2012'!$A$1:$J$95</oldFormula>
  </rdn>
  <rdn rId="0" localSheetId="14" customView="1" name="Z_DF69299D_7752_4436_A45D_28F739CEE21B_.wvu.FilterData" hidden="1" oldHidden="1">
    <formula>stbk!$A$1:$G$199</formula>
    <oldFormula>stbk!$A$1:$G$199</oldFormula>
  </rdn>
  <rcv guid="{DF69299D-7752-4436-A45D-28F739CEE21B}" action="add"/>
</revisions>
</file>

<file path=xl/revisions/revisionLog1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4" sqref="G27" start="0" length="0">
    <dxf>
      <font>
        <b/>
        <sz val="8"/>
        <name val="Consolas"/>
        <family val="3"/>
      </font>
    </dxf>
  </rfmt>
  <rcc rId="3570" sId="4" odxf="1" dxf="1">
    <oc r="G27">
      <f>6057.27*(1+CALC!$A$2)</f>
    </oc>
    <nc r="G27">
      <f>CALC!$A$22*(I27/CEM!I$146)</f>
    </nc>
    <ndxf>
      <font>
        <b val="0"/>
        <sz val="8"/>
        <name val="Consolas"/>
        <family val="3"/>
      </font>
    </ndxf>
  </rcc>
  <rcc rId="3571" sId="4" odxf="1" dxf="1">
    <oc r="G33">
      <f>2800*(1+CALC!$A$2)</f>
    </oc>
    <nc r="G33">
      <f>CALC!$A$22*(I33/CEM!I$146)</f>
    </nc>
    <odxf>
      <fill>
        <patternFill patternType="solid">
          <bgColor theme="6"/>
        </patternFill>
      </fill>
    </odxf>
    <ndxf>
      <fill>
        <patternFill patternType="none">
          <bgColor indexed="65"/>
        </patternFill>
      </fill>
    </ndxf>
  </rcc>
  <rcc rId="3572" sId="4" odxf="1" dxf="1">
    <oc r="G34">
      <f>756*(1+CALC!$A$2)</f>
    </oc>
    <nc r="G34">
      <f>CALC!$A$22*(I34/CEM!I$146)</f>
    </nc>
    <odxf>
      <fill>
        <patternFill patternType="solid">
          <bgColor theme="6"/>
        </patternFill>
      </fill>
    </odxf>
    <ndxf>
      <fill>
        <patternFill patternType="none">
          <bgColor indexed="65"/>
        </patternFill>
      </fill>
    </ndxf>
  </rcc>
  <rcc rId="3573" sId="4" odxf="1" dxf="1">
    <oc r="G35">
      <f>1800*(1+CALC!$A$2)</f>
    </oc>
    <nc r="G35">
      <f>CALC!$A$22*(I35/CEM!I$146)</f>
    </nc>
    <odxf>
      <fill>
        <patternFill patternType="solid">
          <bgColor theme="6"/>
        </patternFill>
      </fill>
    </odxf>
    <ndxf>
      <fill>
        <patternFill patternType="none">
          <bgColor indexed="65"/>
        </patternFill>
      </fill>
    </ndxf>
  </rcc>
  <rcc rId="3574" sId="4" odxf="1" dxf="1">
    <oc r="G36">
      <f>2000*(1+CALC!$A$2)</f>
    </oc>
    <nc r="G36">
      <f>CALC!$A$22*(I36/CEM!I$146)</f>
    </nc>
    <odxf>
      <fill>
        <patternFill patternType="solid">
          <bgColor theme="6"/>
        </patternFill>
      </fill>
    </odxf>
    <ndxf>
      <fill>
        <patternFill patternType="none">
          <bgColor indexed="65"/>
        </patternFill>
      </fill>
    </ndxf>
  </rcc>
  <rcc rId="3575" sId="4" odxf="1" dxf="1">
    <oc r="G37">
      <f>3000*(1+CALC!$A$2)</f>
    </oc>
    <nc r="G37">
      <f>CALC!$A$22*(I37/CEM!I$146)</f>
    </nc>
    <odxf>
      <fill>
        <patternFill patternType="solid">
          <bgColor theme="6"/>
        </patternFill>
      </fill>
    </odxf>
    <ndxf>
      <fill>
        <patternFill patternType="none">
          <bgColor indexed="65"/>
        </patternFill>
      </fill>
    </ndxf>
  </rcc>
  <rcc rId="3576" sId="4" odxf="1" dxf="1">
    <oc r="G38">
      <f>3000*(1+CALC!$A$2)</f>
    </oc>
    <nc r="G38">
      <f>CALC!$A$22*(I38/CEM!I$146)</f>
    </nc>
    <odxf>
      <fill>
        <patternFill patternType="solid">
          <bgColor theme="6"/>
        </patternFill>
      </fill>
    </odxf>
    <ndxf>
      <fill>
        <patternFill patternType="none">
          <bgColor indexed="65"/>
        </patternFill>
      </fill>
    </ndxf>
  </rcc>
  <rcc rId="3577" sId="4" odxf="1" dxf="1">
    <oc r="G44">
      <f>710*(1+CALC!$A$2)</f>
    </oc>
    <nc r="G44">
      <f>CALC!$A$22*(I44/CEM!I$146)</f>
    </nc>
    <odxf>
      <fill>
        <patternFill patternType="solid">
          <bgColor theme="6"/>
        </patternFill>
      </fill>
    </odxf>
    <ndxf>
      <fill>
        <patternFill patternType="none">
          <bgColor indexed="65"/>
        </patternFill>
      </fill>
    </ndxf>
  </rcc>
  <rcc rId="3578" sId="4" odxf="1" dxf="1">
    <oc r="G45">
      <f>710*(1+CALC!$A$2)</f>
    </oc>
    <nc r="G45">
      <f>CALC!$A$22*(I45/CEM!I$146)</f>
    </nc>
    <odxf>
      <fill>
        <patternFill patternType="solid">
          <bgColor theme="6"/>
        </patternFill>
      </fill>
    </odxf>
    <ndxf>
      <fill>
        <patternFill patternType="none">
          <bgColor indexed="65"/>
        </patternFill>
      </fill>
    </ndxf>
  </rcc>
  <rcc rId="3579" sId="4" odxf="1" dxf="1">
    <oc r="G46">
      <f>710*(1+CALC!$A$2)</f>
    </oc>
    <nc r="G46">
      <f>CALC!$A$22*(I46/CEM!I$146)</f>
    </nc>
    <odxf>
      <fill>
        <patternFill patternType="solid">
          <bgColor theme="6"/>
        </patternFill>
      </fill>
    </odxf>
    <ndxf>
      <fill>
        <patternFill patternType="none">
          <bgColor indexed="65"/>
        </patternFill>
      </fill>
    </ndxf>
  </rcc>
  <rcc rId="3580" sId="4" odxf="1" dxf="1">
    <oc r="G47">
      <f>1100*(1+CALC!$A$2)</f>
    </oc>
    <nc r="G47">
      <f>CALC!$A$22*(I47/CEM!I$146)</f>
    </nc>
    <odxf>
      <fill>
        <patternFill patternType="solid">
          <bgColor theme="6"/>
        </patternFill>
      </fill>
    </odxf>
    <ndxf>
      <fill>
        <patternFill patternType="none">
          <bgColor indexed="65"/>
        </patternFill>
      </fill>
    </ndxf>
  </rcc>
  <rcc rId="3581" sId="4" odxf="1" dxf="1">
    <oc r="G57">
      <f>710*(1+CALC!$A$2)</f>
    </oc>
    <nc r="G57">
      <f>CALC!$A$22*(I57/CEM!I$146)</f>
    </nc>
    <odxf>
      <fill>
        <patternFill patternType="solid">
          <bgColor theme="6"/>
        </patternFill>
      </fill>
    </odxf>
    <ndxf>
      <fill>
        <patternFill patternType="none">
          <bgColor indexed="65"/>
        </patternFill>
      </fill>
    </ndxf>
  </rcc>
  <rcc rId="3582" sId="4" odxf="1" dxf="1">
    <oc r="G66">
      <f>53688.31</f>
    </oc>
    <nc r="G66">
      <f>CALC!$A$22*(I66/CEM!I$146)</f>
    </nc>
    <odxf/>
    <ndxf/>
  </rcc>
  <rcc rId="3583" sId="4" odxf="1" dxf="1">
    <oc r="G67">
      <f>21800*(1+CALC!$A$2)</f>
    </oc>
    <nc r="G67">
      <f>CALC!$A$22*(I67/CEM!I$146)</f>
    </nc>
    <odxf/>
    <ndxf/>
  </rcc>
  <rcc rId="3584" sId="4" odxf="1" dxf="1">
    <oc r="G68">
      <f>21800*(1+CALC!$A$2)</f>
    </oc>
    <nc r="G68">
      <f>CALC!$A$22*(I68/CEM!I$146)</f>
    </nc>
    <odxf/>
    <ndxf/>
  </rcc>
  <rcc rId="3585" sId="4" odxf="1" dxf="1">
    <oc r="G69">
      <f>21800*(1+CALC!$A$2)</f>
    </oc>
    <nc r="G69">
      <f>CALC!$A$22*(I69/CEM!I$146)</f>
    </nc>
    <odxf/>
    <ndxf/>
  </rcc>
  <rcc rId="3586" sId="4" odxf="1" dxf="1">
    <oc r="G70">
      <f>21800*(1+CALC!$A$2)</f>
    </oc>
    <nc r="G70">
      <f>CALC!$A$22*(I70/CEM!I$146)</f>
    </nc>
    <odxf/>
    <ndxf/>
  </rcc>
  <rcc rId="3587" sId="4" odxf="1" dxf="1">
    <oc r="G71">
      <f>21800*(1+CALC!$A$2)</f>
    </oc>
    <nc r="G71">
      <f>CALC!$A$22*(I71/CEM!I$146)</f>
    </nc>
    <odxf/>
    <ndxf/>
  </rcc>
  <rcc rId="3588" sId="4" odxf="1" dxf="1">
    <oc r="G72">
      <f>21800*(1+CALC!$A$2)</f>
    </oc>
    <nc r="G72">
      <f>CALC!$A$22*(I72/CEM!I$146)</f>
    </nc>
    <odxf>
      <fill>
        <patternFill patternType="solid">
          <bgColor theme="6"/>
        </patternFill>
      </fill>
    </odxf>
    <ndxf>
      <fill>
        <patternFill patternType="none">
          <bgColor indexed="65"/>
        </patternFill>
      </fill>
    </ndxf>
  </rcc>
  <rcc rId="3589" sId="4" odxf="1" dxf="1">
    <oc r="G73">
      <f>21800*(1+CALC!$A$2)</f>
    </oc>
    <nc r="G73">
      <f>CALC!$A$22*(I73/CEM!I$146)</f>
    </nc>
    <odxf>
      <fill>
        <patternFill patternType="solid">
          <bgColor theme="6"/>
        </patternFill>
      </fill>
    </odxf>
    <ndxf>
      <fill>
        <patternFill patternType="none">
          <bgColor indexed="65"/>
        </patternFill>
      </fill>
    </ndxf>
  </rcc>
  <rcc rId="3590" sId="4" odxf="1" dxf="1">
    <oc r="G78">
      <f>5482*(1+CALC!$A$2)</f>
    </oc>
    <nc r="G78">
      <f>CALC!$A$22*(I78/CEM!I$146)</f>
    </nc>
    <odxf/>
    <ndxf/>
  </rcc>
  <rcc rId="3591" sId="4" odxf="1" dxf="1">
    <oc r="G79">
      <f>5482*(1+CALC!$A$2)</f>
    </oc>
    <nc r="G79">
      <f>CALC!$A$22*(I79/CEM!I$146)</f>
    </nc>
    <odxf/>
    <ndxf/>
  </rcc>
  <rcc rId="3592" sId="4" odxf="1" dxf="1">
    <oc r="G80">
      <f>5482*(1+CALC!$A$2)</f>
    </oc>
    <nc r="G80">
      <f>CALC!$A$22*(I80/CEM!I$146)</f>
    </nc>
    <odxf/>
    <ndxf/>
  </rcc>
  <rcc rId="3593" sId="4" odxf="1" dxf="1">
    <oc r="G81">
      <f>5482*(1+CALC!$A$2)</f>
    </oc>
    <nc r="G81">
      <f>CALC!$A$22*(I81/CEM!I$146)</f>
    </nc>
    <odxf/>
    <ndxf/>
  </rcc>
  <rcc rId="3594" sId="4" odxf="1" dxf="1">
    <oc r="G82">
      <f>5482*(1+CALC!$A$2)</f>
    </oc>
    <nc r="G82">
      <f>CALC!$A$22*(I82/CEM!I$146)</f>
    </nc>
    <odxf/>
    <ndxf/>
  </rcc>
  <rcc rId="3595" sId="4" odxf="1" dxf="1">
    <oc r="G83">
      <f>5482*(1+CALC!$A$2)</f>
    </oc>
    <nc r="G83">
      <f>CALC!$A$22*(I83/CEM!I$146)</f>
    </nc>
    <odxf/>
    <ndxf/>
  </rcc>
  <rcc rId="3596" sId="4">
    <oc r="G89">
      <f>6057*(1+CALC!$A$2)</f>
    </oc>
    <nc r="G89">
      <f>CALC!$A$22*(I89/CEM!I$146)</f>
    </nc>
  </rcc>
  <rcc rId="3597" sId="4">
    <oc r="G90">
      <f>6057*(1+CALC!$A$2)</f>
    </oc>
    <nc r="G90">
      <f>CALC!$A$22*(I90/CEM!I$146)</f>
    </nc>
  </rcc>
  <rcc rId="3598" sId="4">
    <oc r="G91">
      <f>6057*(1+CALC!$A$2)</f>
    </oc>
    <nc r="G91">
      <f>CALC!$A$22*(I91/CEM!I$146)</f>
    </nc>
  </rcc>
  <rcc rId="3599" sId="4">
    <oc r="G96">
      <f>9718*(1+CALC!$A$2)</f>
    </oc>
    <nc r="G96">
      <f>CALC!$A$22*(I96/CEM!I$146)</f>
    </nc>
  </rcc>
  <rcv guid="{DF69299D-7752-4436-A45D-28F739CEE21B}" action="delete"/>
  <rdn rId="0" localSheetId="1" customView="1" name="Z_DF69299D_7752_4436_A45D_28F739CEE21B_.wvu.PrintArea" hidden="1" oldHidden="1">
    <formula>mayor!$A$1:$Q$42</formula>
    <oldFormula>mayor!$A$1:$Q$42</oldFormula>
  </rdn>
  <rdn rId="0" localSheetId="1" customView="1" name="Z_DF69299D_7752_4436_A45D_28F739CEE21B_.wvu.Cols" hidden="1" oldHidden="1">
    <formula>mayor!$P:$P</formula>
    <oldFormula>mayor!$P:$P</oldFormula>
  </rdn>
  <rdn rId="0" localSheetId="1" customView="1" name="Z_DF69299D_7752_4436_A45D_28F739CEE21B_.wvu.FilterData" hidden="1" oldHidden="1">
    <formula>mayor!$A$16:$C$16</formula>
    <oldFormula>mayor!$A$16:$C$16</oldFormula>
  </rdn>
  <rdn rId="0" localSheetId="2" customView="1" name="Z_DF69299D_7752_4436_A45D_28F739CEE21B_.wvu.PrintArea" hidden="1" oldHidden="1">
    <formula>income!$A$1:$Q$16</formula>
    <oldFormula>income!$A$1:$Q$16</oldFormula>
  </rdn>
  <rdn rId="0" localSheetId="2" customView="1" name="Z_DF69299D_7752_4436_A45D_28F739CEE21B_.wvu.Cols" hidden="1" oldHidden="1">
    <formula>income!$P:$P</formula>
    <oldFormula>income!$P:$P</oldFormula>
  </rdn>
  <rdn rId="0" localSheetId="3" customView="1" name="Z_DF69299D_7752_4436_A45D_28F739CEE21B_.wvu.PrintArea" hidden="1" oldHidden="1">
    <formula>workshop!$A$1:$Q$20</formula>
    <oldFormula>workshop!$A$1:$Q$20</oldFormula>
  </rdn>
  <rdn rId="0" localSheetId="3" customView="1" name="Z_DF69299D_7752_4436_A45D_28F739CEE21B_.wvu.Cols" hidden="1" oldHidden="1">
    <formula>workshop!$J:$J,workshop!$P:$P</formula>
    <oldFormula>workshop!$J:$J,workshop!$P:$P</oldFormula>
  </rdn>
  <rdn rId="0" localSheetId="4" customView="1" name="Z_DF69299D_7752_4436_A45D_28F739CEE21B_.wvu.PrintArea" hidden="1" oldHidden="1">
    <formula>'COMMUNITY SERV'!$A$1:$Q$102</formula>
    <oldFormula>'COMMUNITY SERV'!$A$1:$Q$102</oldFormula>
  </rdn>
  <rdn rId="0" localSheetId="4" customView="1" name="Z_DF69299D_7752_4436_A45D_28F739CEE21B_.wvu.Cols" hidden="1" oldHidden="1">
    <formula>'COMMUNITY SERV'!$P:$P</formula>
    <oldFormula>'COMMUNITY SERV'!$P:$P</oldFormula>
  </rdn>
  <rdn rId="0" localSheetId="5" customView="1" name="Z_DF69299D_7752_4436_A45D_28F739CEE21B_.wvu.PrintArea" hidden="1" oldHidden="1">
    <formula>EEM!$A$1:$Q$97</formula>
    <oldFormula>EEM!$A$1:$Q$97</oldFormula>
  </rdn>
  <rdn rId="0" localSheetId="6" customView="1" name="Z_DF69299D_7752_4436_A45D_28F739CEE21B_.wvu.PrintArea" hidden="1" oldHidden="1">
    <formula>CEM!$A$1:$Q$146</formula>
    <oldFormula>CEM!$A$1:$Q$146</oldFormula>
  </rdn>
  <rdn rId="0" localSheetId="6" customView="1" name="Z_DF69299D_7752_4436_A45D_28F739CEE21B_.wvu.Rows" hidden="1" oldHidden="1">
    <formula>CEM!$141:$141</formula>
    <oldFormula>CEM!$141:$141</oldFormula>
  </rdn>
  <rdn rId="0" localSheetId="6" customView="1" name="Z_DF69299D_7752_4436_A45D_28F739CEE21B_.wvu.Cols" hidden="1" oldHidden="1">
    <formula>CEM!$P:$P</formula>
    <oldFormula>CEM!$P:$P</oldFormula>
  </rdn>
  <rdn rId="0" localSheetId="7" customView="1" name="Z_DF69299D_7752_4436_A45D_28F739CEE21B_.wvu.PrintArea" hidden="1" oldHidden="1">
    <formula>MDC!$A$1:$Q$90</formula>
    <oldFormula>MDC!$A$1:$Q$90</oldFormula>
  </rdn>
  <rdn rId="0" localSheetId="7" customView="1" name="Z_DF69299D_7752_4436_A45D_28F739CEE21B_.wvu.Rows" hidden="1" oldHidden="1">
    <formula>MDC!$67:$73</formula>
    <oldFormula>MDC!$67:$73</oldFormula>
  </rdn>
  <rdn rId="0" localSheetId="7" customView="1" name="Z_DF69299D_7752_4436_A45D_28F739CEE21B_.wvu.Cols" hidden="1" oldHidden="1">
    <formula>MDC!$J:$J,MDC!$P:$P</formula>
    <oldFormula>MDC!$J:$J,MDC!$P:$P</oldFormula>
  </rdn>
  <rdn rId="0" localSheetId="8" customView="1" name="Z_DF69299D_7752_4436_A45D_28F739CEE21B_.wvu.PrintArea" hidden="1" oldHidden="1">
    <formula>BUDGET!$A$1:$B$76</formula>
    <oldFormula>BUDGET!$A$1:$B$76</oldFormula>
  </rdn>
  <rdn rId="0" localSheetId="8" customView="1" name="Z_DF69299D_7752_4436_A45D_28F739CEE21B_.wvu.Rows" hidden="1" oldHidden="1">
    <formula>BUDGET!$3:$7,BUDGET!$9:$9,BUDGET!$11:$11,BUDGET!$13:$16,BUDGET!$18:$21,BUDGET!$23:$23,BUDGET!$25:$28,BUDGET!$30:$36,BUDGET!$38:$38,BUDGET!$40:$40,BUDGET!$42:$47,BUDGET!$49:$49,BUDGET!$51:$54,BUDGET!$56:$59,BUDGET!$61:$66,BUDGET!$68:$68,BUDGET!$70:$70</formula>
    <oldFormula>BUDGET!$3:$7,BUDGET!$9:$9,BUDGET!$11:$11,BUDGET!$13:$16,BUDGET!$18:$21,BUDGET!$23:$23,BUDGET!$25:$28,BUDGET!$30:$36,BUDGET!$38:$38,BUDGET!$40:$40,BUDGET!$42:$47,BUDGET!$49:$49,BUDGET!$51:$54,BUDGET!$56:$59,BUDGET!$61:$66,BUDGET!$68:$68,BUDGET!$70:$70</oldFormula>
  </rdn>
  <rdn rId="0" localSheetId="8" customView="1" name="Z_DF69299D_7752_4436_A45D_28F739CEE21B_.wvu.Cols" hidden="1" oldHidden="1">
    <formula>BUDGET!$C:$S</formula>
    <oldFormula>BUDGET!$C:$S</oldFormula>
  </rdn>
  <rdn rId="0" localSheetId="10" customView="1" name="Z_DF69299D_7752_4436_A45D_28F739CEE21B_.wvu.FilterData" hidden="1" oldHidden="1">
    <formula>orig!$A$1:$AN$198</formula>
    <oldFormula>orig!$A$1:$AN$198</oldFormula>
  </rdn>
  <rdn rId="0" localSheetId="11" customView="1" name="Z_DF69299D_7752_4436_A45D_28F739CEE21B_.wvu.Cols" hidden="1" oldHidden="1">
    <formula>'1-10'!$B:$B</formula>
    <oldFormula>'1-10'!$B:$B</oldFormula>
  </rdn>
  <rdn rId="0" localSheetId="11" customView="1" name="Z_DF69299D_7752_4436_A45D_28F739CEE21B_.wvu.FilterData" hidden="1" oldHidden="1">
    <formula>'1-10'!$A$1:$AY$100</formula>
    <oldFormula>'1-10'!$A$1:$AY$100</oldFormula>
  </rdn>
  <rdn rId="0" localSheetId="12" customView="1" name="Z_DF69299D_7752_4436_A45D_28F739CEE21B_.wvu.Rows" hidden="1" oldHidden="1">
    <formula>'new veh 2012'!$96:$97</formula>
    <oldFormula>'new veh 2012'!$96:$97</oldFormula>
  </rdn>
  <rdn rId="0" localSheetId="12" customView="1" name="Z_DF69299D_7752_4436_A45D_28F739CEE21B_.wvu.FilterData" hidden="1" oldHidden="1">
    <formula>'new veh 2012'!$A$1:$J$95</formula>
    <oldFormula>'new veh 2012'!$A$1:$J$95</oldFormula>
  </rdn>
  <rdn rId="0" localSheetId="14" customView="1" name="Z_DF69299D_7752_4436_A45D_28F739CEE21B_.wvu.FilterData" hidden="1" oldHidden="1">
    <formula>stbk!$A$1:$G$199</formula>
    <oldFormula>stbk!$A$1:$G$199</oldFormula>
  </rdn>
  <rcv guid="{DF69299D-7752-4436-A45D-28F739CEE21B}" action="add"/>
</revisions>
</file>

<file path=xl/revisions/revisionLog1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25" sId="5">
    <oc r="G7">
      <f>5500*(1+CALC!$A$2)</f>
    </oc>
    <nc r="G7">
      <f>CALC!$A$22*(I7/CEM!I$146)</f>
    </nc>
  </rcc>
  <rcc rId="3626" sId="5">
    <oc r="G13">
      <f>6057.278*(1+CALC!$A$2)</f>
    </oc>
    <nc r="G13">
      <f>CALC!$A$22*(I13/CEM!I$146)</f>
    </nc>
  </rcc>
  <rcc rId="3627" sId="5">
    <oc r="G14">
      <f>6057.278*(1+CALC!$A$2)</f>
    </oc>
    <nc r="G14">
      <f>CALC!$A$22*(I14/CEM!I$146)</f>
    </nc>
  </rcc>
  <rcc rId="3628" sId="5">
    <oc r="G15">
      <f>6057.278*(1+CALC!$A$2)</f>
    </oc>
    <nc r="G15">
      <f>CALC!$A$22*(I15/CEM!I$146)</f>
    </nc>
  </rcc>
  <rcc rId="3629" sId="5" numFmtId="34">
    <oc r="G16">
      <v>0</v>
    </oc>
    <nc r="G16">
      <f>CALC!$A$22*(I16/CEM!I$146)</f>
    </nc>
  </rcc>
  <rcc rId="3630" sId="5">
    <oc r="G17">
      <f>6057.278*(1+CALC!$A$2)</f>
    </oc>
    <nc r="G17">
      <f>CALC!$A$22*(I17/CEM!I$146)</f>
    </nc>
  </rcc>
  <rcc rId="3631" sId="5">
    <oc r="G18">
      <f>6057.278*(1+CALC!$A$2)</f>
    </oc>
    <nc r="G18">
      <f>CALC!$A$22*(I18/CEM!I$146)</f>
    </nc>
  </rcc>
  <rcc rId="3632" sId="5">
    <oc r="G19">
      <f>6057.278*(1+CALC!$A$2)</f>
    </oc>
    <nc r="G19">
      <f>CALC!$A$22*(I19/CEM!I$146)</f>
    </nc>
  </rcc>
  <rcc rId="3633" sId="5">
    <oc r="G20">
      <f>6057.278*(1+CALC!$A$2)</f>
    </oc>
    <nc r="G20">
      <f>CALC!$A$22*(I20/CEM!I$146)</f>
    </nc>
  </rcc>
  <rcc rId="3634" sId="5">
    <oc r="G21">
      <f>6057.278*(1+CALC!$A$2)</f>
    </oc>
    <nc r="G21">
      <f>CALC!$A$22*(I21/CEM!I$146)</f>
    </nc>
  </rcc>
  <rcc rId="3635" sId="5">
    <oc r="G22">
      <f>6057.278*(1+CALC!$A$2)</f>
    </oc>
    <nc r="G22">
      <f>CALC!$A$22*(I22/CEM!I$146)</f>
    </nc>
  </rcc>
  <rcc rId="3636" sId="5" odxf="1" dxf="1">
    <oc r="G29">
      <f>5500*(1+CALC!$A$2)</f>
    </oc>
    <nc r="G29">
      <f>CALC!$A$22*(I29/CEM!I$146)</f>
    </nc>
    <odxf>
      <font>
        <sz val="8"/>
        <color rgb="FFFF0000"/>
        <name val="Consolas"/>
        <family val="3"/>
      </font>
    </odxf>
    <ndxf>
      <font>
        <sz val="8"/>
        <color rgb="FFFF0000"/>
        <name val="Consolas"/>
        <family val="3"/>
      </font>
    </ndxf>
  </rcc>
  <rcc rId="3637" sId="5" numFmtId="34">
    <oc r="G30">
      <v>0</v>
    </oc>
    <nc r="G30">
      <f>CALC!$A$22*(I30/CEM!I$146)</f>
    </nc>
  </rcc>
  <rcc rId="3638" sId="5">
    <oc r="G31">
      <f>5500*(1+CALC!$A$2)</f>
    </oc>
    <nc r="G31">
      <f>CALC!$A$22*(I31/CEM!I$146)</f>
    </nc>
  </rcc>
  <rcc rId="3639" sId="5" odxf="1" dxf="1">
    <oc r="G32">
      <f>5500*(1+CALC!$A$2)</f>
    </oc>
    <nc r="G32">
      <f>CALC!$A$22*(I32/CEM!I$146)</f>
    </nc>
    <odxf>
      <font>
        <sz val="8"/>
        <color rgb="FFFF0000"/>
        <name val="Consolas"/>
        <family val="3"/>
      </font>
    </odxf>
    <ndxf>
      <font>
        <sz val="8"/>
        <color rgb="FFFF0000"/>
        <name val="Consolas"/>
        <family val="3"/>
      </font>
    </ndxf>
  </rcc>
  <rcc rId="3640" sId="5" odxf="1" dxf="1" numFmtId="34">
    <oc r="G33">
      <v>0</v>
    </oc>
    <nc r="G33">
      <f>CALC!$A$22*(I33/CEM!I$146)</f>
    </nc>
    <odxf>
      <font>
        <sz val="8"/>
        <color rgb="FFFF0000"/>
        <name val="Consolas"/>
        <family val="3"/>
      </font>
    </odxf>
    <ndxf>
      <font>
        <sz val="8"/>
        <color rgb="FFFF0000"/>
        <name val="Consolas"/>
        <family val="3"/>
      </font>
    </ndxf>
  </rcc>
  <rcc rId="3641" sId="5" odxf="1" dxf="1" numFmtId="34">
    <oc r="G34">
      <v>0</v>
    </oc>
    <nc r="G34">
      <f>CALC!$A$22*(I34/CEM!I$146)</f>
    </nc>
    <odxf>
      <font>
        <sz val="8"/>
        <color rgb="FFFF0000"/>
        <name val="Consolas"/>
        <family val="3"/>
      </font>
    </odxf>
    <ndxf>
      <font>
        <sz val="8"/>
        <color rgb="FFFF0000"/>
        <name val="Consolas"/>
        <family val="3"/>
      </font>
    </ndxf>
  </rcc>
  <rcc rId="3642" sId="5" numFmtId="34">
    <oc r="G35">
      <v>0</v>
    </oc>
    <nc r="G35">
      <f>CALC!$A$22*(I35/CEM!I$146)</f>
    </nc>
  </rcc>
  <rcc rId="3643" sId="5" odxf="1" dxf="1" numFmtId="34">
    <oc r="G36">
      <v>0</v>
    </oc>
    <nc r="G36">
      <f>CALC!$A$22*(I36/CEM!I$146)</f>
    </nc>
    <odxf>
      <font>
        <sz val="8"/>
        <color rgb="FFFF0000"/>
        <name val="Consolas"/>
        <family val="3"/>
      </font>
    </odxf>
    <ndxf>
      <font>
        <sz val="8"/>
        <color rgb="FFFF0000"/>
        <name val="Consolas"/>
        <family val="3"/>
      </font>
    </ndxf>
  </rcc>
  <rcc rId="3644" sId="5" odxf="1" dxf="1" numFmtId="34">
    <oc r="G37">
      <v>0</v>
    </oc>
    <nc r="G37">
      <f>CALC!$A$22*(I37/CEM!I$146)</f>
    </nc>
    <odxf>
      <font>
        <sz val="8"/>
        <color rgb="FFFF0000"/>
        <name val="Consolas"/>
        <family val="3"/>
      </font>
    </odxf>
    <ndxf>
      <font>
        <sz val="8"/>
        <color rgb="FFFF0000"/>
        <name val="Consolas"/>
        <family val="3"/>
      </font>
    </ndxf>
  </rcc>
  <rcc rId="3645" sId="5" numFmtId="34">
    <oc r="G38">
      <v>0</v>
    </oc>
    <nc r="G38">
      <f>CALC!$A$22*(I38/CEM!I$146)</f>
    </nc>
  </rcc>
  <rcc rId="3646" sId="5">
    <oc r="G39">
      <f>5500*(1+CALC!$A$2)</f>
    </oc>
    <nc r="G39">
      <f>CALC!$A$22*(I39/CEM!I$146)</f>
    </nc>
  </rcc>
  <rcc rId="3647" sId="5">
    <oc r="G40">
      <f>5500*(1+CALC!$A$2)</f>
    </oc>
    <nc r="G40">
      <f>CALC!$A$22*(I40/CEM!I$146)</f>
    </nc>
  </rcc>
  <rcc rId="3648" sId="5" numFmtId="34">
    <oc r="G41">
      <v>0</v>
    </oc>
    <nc r="G41">
      <f>CALC!$A$22*(I41/CEM!I$146)</f>
    </nc>
  </rcc>
  <rcc rId="3649" sId="5">
    <oc r="G42">
      <f>5500*(1+CALC!$A$2)</f>
    </oc>
    <nc r="G42">
      <f>CALC!$A$22*(I42/CEM!I$146)</f>
    </nc>
  </rcc>
  <rcc rId="3650" sId="5">
    <oc r="G43">
      <f>5500*(1+CALC!$A$2)</f>
    </oc>
    <nc r="G43">
      <f>CALC!$A$22*(I43/CEM!I$146)</f>
    </nc>
  </rcc>
  <rcc rId="3651" sId="5" numFmtId="34">
    <oc r="G44">
      <v>0</v>
    </oc>
    <nc r="G44">
      <f>CALC!$A$22*(I44/CEM!I$146)</f>
    </nc>
  </rcc>
  <rcc rId="3652" sId="5">
    <oc r="G45">
      <f>5500*(1+CALC!$A$2)</f>
    </oc>
    <nc r="G45">
      <f>CALC!$A$22*(I45/CEM!I$146)</f>
    </nc>
  </rcc>
  <rcc rId="3653" sId="5">
    <oc r="G46">
      <f>5500*(1+CALC!$A$2)</f>
    </oc>
    <nc r="G46">
      <f>CALC!$A$22*(I46/CEM!I$146)</f>
    </nc>
  </rcc>
  <rcc rId="3654" sId="5">
    <oc r="G47">
      <f>5500*(1+CALC!$A$2)</f>
    </oc>
    <nc r="G47">
      <f>CALC!$A$22*(I47/CEM!I$146)</f>
    </nc>
  </rcc>
  <rcv guid="{DF69299D-7752-4436-A45D-28F739CEE21B}" action="delete"/>
  <rdn rId="0" localSheetId="1" customView="1" name="Z_DF69299D_7752_4436_A45D_28F739CEE21B_.wvu.PrintArea" hidden="1" oldHidden="1">
    <formula>mayor!$A$1:$Q$42</formula>
    <oldFormula>mayor!$A$1:$Q$42</oldFormula>
  </rdn>
  <rdn rId="0" localSheetId="1" customView="1" name="Z_DF69299D_7752_4436_A45D_28F739CEE21B_.wvu.Cols" hidden="1" oldHidden="1">
    <formula>mayor!$P:$P</formula>
    <oldFormula>mayor!$P:$P</oldFormula>
  </rdn>
  <rdn rId="0" localSheetId="1" customView="1" name="Z_DF69299D_7752_4436_A45D_28F739CEE21B_.wvu.FilterData" hidden="1" oldHidden="1">
    <formula>mayor!$A$16:$C$16</formula>
    <oldFormula>mayor!$A$16:$C$16</oldFormula>
  </rdn>
  <rdn rId="0" localSheetId="2" customView="1" name="Z_DF69299D_7752_4436_A45D_28F739CEE21B_.wvu.PrintArea" hidden="1" oldHidden="1">
    <formula>income!$A$1:$Q$16</formula>
    <oldFormula>income!$A$1:$Q$16</oldFormula>
  </rdn>
  <rdn rId="0" localSheetId="2" customView="1" name="Z_DF69299D_7752_4436_A45D_28F739CEE21B_.wvu.Cols" hidden="1" oldHidden="1">
    <formula>income!$P:$P</formula>
    <oldFormula>income!$P:$P</oldFormula>
  </rdn>
  <rdn rId="0" localSheetId="3" customView="1" name="Z_DF69299D_7752_4436_A45D_28F739CEE21B_.wvu.PrintArea" hidden="1" oldHidden="1">
    <formula>workshop!$A$1:$Q$20</formula>
    <oldFormula>workshop!$A$1:$Q$20</oldFormula>
  </rdn>
  <rdn rId="0" localSheetId="3" customView="1" name="Z_DF69299D_7752_4436_A45D_28F739CEE21B_.wvu.Cols" hidden="1" oldHidden="1">
    <formula>workshop!$J:$J,workshop!$P:$P</formula>
    <oldFormula>workshop!$J:$J,workshop!$P:$P</oldFormula>
  </rdn>
  <rdn rId="0" localSheetId="4" customView="1" name="Z_DF69299D_7752_4436_A45D_28F739CEE21B_.wvu.PrintArea" hidden="1" oldHidden="1">
    <formula>'COMMUNITY SERV'!$A$1:$Q$102</formula>
    <oldFormula>'COMMUNITY SERV'!$A$1:$Q$102</oldFormula>
  </rdn>
  <rdn rId="0" localSheetId="4" customView="1" name="Z_DF69299D_7752_4436_A45D_28F739CEE21B_.wvu.Cols" hidden="1" oldHidden="1">
    <formula>'COMMUNITY SERV'!$P:$P</formula>
    <oldFormula>'COMMUNITY SERV'!$P:$P</oldFormula>
  </rdn>
  <rdn rId="0" localSheetId="5" customView="1" name="Z_DF69299D_7752_4436_A45D_28F739CEE21B_.wvu.PrintArea" hidden="1" oldHidden="1">
    <formula>EEM!$A$1:$Q$97</formula>
    <oldFormula>EEM!$A$1:$Q$97</oldFormula>
  </rdn>
  <rdn rId="0" localSheetId="6" customView="1" name="Z_DF69299D_7752_4436_A45D_28F739CEE21B_.wvu.PrintArea" hidden="1" oldHidden="1">
    <formula>CEM!$A$1:$Q$146</formula>
    <oldFormula>CEM!$A$1:$Q$146</oldFormula>
  </rdn>
  <rdn rId="0" localSheetId="6" customView="1" name="Z_DF69299D_7752_4436_A45D_28F739CEE21B_.wvu.Rows" hidden="1" oldHidden="1">
    <formula>CEM!$141:$141</formula>
    <oldFormula>CEM!$141:$141</oldFormula>
  </rdn>
  <rdn rId="0" localSheetId="6" customView="1" name="Z_DF69299D_7752_4436_A45D_28F739CEE21B_.wvu.Cols" hidden="1" oldHidden="1">
    <formula>CEM!$P:$P</formula>
    <oldFormula>CEM!$P:$P</oldFormula>
  </rdn>
  <rdn rId="0" localSheetId="7" customView="1" name="Z_DF69299D_7752_4436_A45D_28F739CEE21B_.wvu.PrintArea" hidden="1" oldHidden="1">
    <formula>MDC!$A$1:$Q$90</formula>
    <oldFormula>MDC!$A$1:$Q$90</oldFormula>
  </rdn>
  <rdn rId="0" localSheetId="7" customView="1" name="Z_DF69299D_7752_4436_A45D_28F739CEE21B_.wvu.Rows" hidden="1" oldHidden="1">
    <formula>MDC!$67:$73</formula>
    <oldFormula>MDC!$67:$73</oldFormula>
  </rdn>
  <rdn rId="0" localSheetId="7" customView="1" name="Z_DF69299D_7752_4436_A45D_28F739CEE21B_.wvu.Cols" hidden="1" oldHidden="1">
    <formula>MDC!$J:$J,MDC!$P:$P</formula>
    <oldFormula>MDC!$J:$J,MDC!$P:$P</oldFormula>
  </rdn>
  <rdn rId="0" localSheetId="8" customView="1" name="Z_DF69299D_7752_4436_A45D_28F739CEE21B_.wvu.PrintArea" hidden="1" oldHidden="1">
    <formula>BUDGET!$A$1:$B$76</formula>
    <oldFormula>BUDGET!$A$1:$B$76</oldFormula>
  </rdn>
  <rdn rId="0" localSheetId="8" customView="1" name="Z_DF69299D_7752_4436_A45D_28F739CEE21B_.wvu.Rows" hidden="1" oldHidden="1">
    <formula>BUDGET!$3:$7,BUDGET!$9:$9,BUDGET!$11:$11,BUDGET!$13:$16,BUDGET!$18:$21,BUDGET!$23:$23,BUDGET!$25:$28,BUDGET!$30:$36,BUDGET!$38:$38,BUDGET!$40:$40,BUDGET!$42:$47,BUDGET!$49:$49,BUDGET!$51:$54,BUDGET!$56:$59,BUDGET!$61:$66,BUDGET!$68:$68,BUDGET!$70:$70</formula>
    <oldFormula>BUDGET!$3:$7,BUDGET!$9:$9,BUDGET!$11:$11,BUDGET!$13:$16,BUDGET!$18:$21,BUDGET!$23:$23,BUDGET!$25:$28,BUDGET!$30:$36,BUDGET!$38:$38,BUDGET!$40:$40,BUDGET!$42:$47,BUDGET!$49:$49,BUDGET!$51:$54,BUDGET!$56:$59,BUDGET!$61:$66,BUDGET!$68:$68,BUDGET!$70:$70</oldFormula>
  </rdn>
  <rdn rId="0" localSheetId="8" customView="1" name="Z_DF69299D_7752_4436_A45D_28F739CEE21B_.wvu.Cols" hidden="1" oldHidden="1">
    <formula>BUDGET!$C:$S</formula>
    <oldFormula>BUDGET!$C:$S</oldFormula>
  </rdn>
  <rdn rId="0" localSheetId="10" customView="1" name="Z_DF69299D_7752_4436_A45D_28F739CEE21B_.wvu.FilterData" hidden="1" oldHidden="1">
    <formula>orig!$A$1:$AN$198</formula>
    <oldFormula>orig!$A$1:$AN$198</oldFormula>
  </rdn>
  <rdn rId="0" localSheetId="11" customView="1" name="Z_DF69299D_7752_4436_A45D_28F739CEE21B_.wvu.Cols" hidden="1" oldHidden="1">
    <formula>'1-10'!$B:$B</formula>
    <oldFormula>'1-10'!$B:$B</oldFormula>
  </rdn>
  <rdn rId="0" localSheetId="11" customView="1" name="Z_DF69299D_7752_4436_A45D_28F739CEE21B_.wvu.FilterData" hidden="1" oldHidden="1">
    <formula>'1-10'!$A$1:$AY$100</formula>
    <oldFormula>'1-10'!$A$1:$AY$100</oldFormula>
  </rdn>
  <rdn rId="0" localSheetId="12" customView="1" name="Z_DF69299D_7752_4436_A45D_28F739CEE21B_.wvu.Rows" hidden="1" oldHidden="1">
    <formula>'new veh 2012'!$96:$97</formula>
    <oldFormula>'new veh 2012'!$96:$97</oldFormula>
  </rdn>
  <rdn rId="0" localSheetId="12" customView="1" name="Z_DF69299D_7752_4436_A45D_28F739CEE21B_.wvu.FilterData" hidden="1" oldHidden="1">
    <formula>'new veh 2012'!$A$1:$J$95</formula>
    <oldFormula>'new veh 2012'!$A$1:$J$95</oldFormula>
  </rdn>
  <rdn rId="0" localSheetId="14" customView="1" name="Z_DF69299D_7752_4436_A45D_28F739CEE21B_.wvu.FilterData" hidden="1" oldHidden="1">
    <formula>stbk!$A$1:$G$199</formula>
    <oldFormula>stbk!$A$1:$G$199</oldFormula>
  </rdn>
  <rcv guid="{DF69299D-7752-4436-A45D-28F739CEE21B}" action="add"/>
</revisions>
</file>

<file path=xl/revisions/revisionLog1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80" sId="5" odxf="1" dxf="1">
    <oc r="G52">
      <f>710*(1+CALC!$A$2)</f>
    </oc>
    <nc r="G52">
      <f>CALC!$A$22*(I52/CEM!I$146)</f>
    </nc>
    <odxf>
      <fill>
        <patternFill patternType="solid">
          <bgColor theme="6"/>
        </patternFill>
      </fill>
    </odxf>
    <ndxf>
      <fill>
        <patternFill patternType="none">
          <bgColor indexed="65"/>
        </patternFill>
      </fill>
    </ndxf>
  </rcc>
  <rcc rId="3681" sId="5" odxf="1" dxf="1">
    <oc r="G59">
      <f>6200*(1+CALC!$A$2)</f>
    </oc>
    <nc r="G59">
      <f>CALC!$A$22*(I59/CEM!I$146)</f>
    </nc>
    <odxf>
      <fill>
        <patternFill patternType="solid">
          <bgColor theme="6"/>
        </patternFill>
      </fill>
    </odxf>
    <ndxf>
      <fill>
        <patternFill patternType="none">
          <bgColor indexed="65"/>
        </patternFill>
      </fill>
    </ndxf>
  </rcc>
  <rcc rId="3682" sId="5">
    <oc r="G66">
      <f>5800*(1+CALC!$A$2)</f>
    </oc>
    <nc r="G66">
      <f>CALC!$A$22*(I66/CEM!I$146)</f>
    </nc>
  </rcc>
  <rcc rId="3683" sId="5">
    <oc r="G67">
      <f>5800*(1+CALC!$A$2)</f>
    </oc>
    <nc r="G67">
      <f>CALC!$A$22*(I67/CEM!I$146)</f>
    </nc>
  </rcc>
  <rcc rId="3684" sId="5">
    <oc r="G73">
      <f>1800*(1+CALC!$A$2)</f>
    </oc>
    <nc r="G73">
      <f>CALC!$A$22*(I73/CEM!I$146)</f>
    </nc>
  </rcc>
  <rcc rId="3685" sId="5">
    <oc r="G74">
      <f>2500*(1+CALC!$A$2)</f>
    </oc>
    <nc r="G74">
      <f>CALC!$A$22*(I74/CEM!I$146)</f>
    </nc>
  </rcc>
  <rcv guid="{DF69299D-7752-4436-A45D-28F739CEE21B}" action="delete"/>
  <rdn rId="0" localSheetId="1" customView="1" name="Z_DF69299D_7752_4436_A45D_28F739CEE21B_.wvu.PrintArea" hidden="1" oldHidden="1">
    <formula>mayor!$A$1:$Q$42</formula>
    <oldFormula>mayor!$A$1:$Q$42</oldFormula>
  </rdn>
  <rdn rId="0" localSheetId="1" customView="1" name="Z_DF69299D_7752_4436_A45D_28F739CEE21B_.wvu.Cols" hidden="1" oldHidden="1">
    <formula>mayor!$P:$P</formula>
    <oldFormula>mayor!$P:$P</oldFormula>
  </rdn>
  <rdn rId="0" localSheetId="1" customView="1" name="Z_DF69299D_7752_4436_A45D_28F739CEE21B_.wvu.FilterData" hidden="1" oldHidden="1">
    <formula>mayor!$A$16:$C$16</formula>
    <oldFormula>mayor!$A$16:$C$16</oldFormula>
  </rdn>
  <rdn rId="0" localSheetId="2" customView="1" name="Z_DF69299D_7752_4436_A45D_28F739CEE21B_.wvu.PrintArea" hidden="1" oldHidden="1">
    <formula>income!$A$1:$Q$16</formula>
    <oldFormula>income!$A$1:$Q$16</oldFormula>
  </rdn>
  <rdn rId="0" localSheetId="2" customView="1" name="Z_DF69299D_7752_4436_A45D_28F739CEE21B_.wvu.Cols" hidden="1" oldHidden="1">
    <formula>income!$P:$P</formula>
    <oldFormula>income!$P:$P</oldFormula>
  </rdn>
  <rdn rId="0" localSheetId="3" customView="1" name="Z_DF69299D_7752_4436_A45D_28F739CEE21B_.wvu.PrintArea" hidden="1" oldHidden="1">
    <formula>workshop!$A$1:$Q$20</formula>
    <oldFormula>workshop!$A$1:$Q$20</oldFormula>
  </rdn>
  <rdn rId="0" localSheetId="3" customView="1" name="Z_DF69299D_7752_4436_A45D_28F739CEE21B_.wvu.Cols" hidden="1" oldHidden="1">
    <formula>workshop!$J:$J,workshop!$P:$P</formula>
    <oldFormula>workshop!$J:$J,workshop!$P:$P</oldFormula>
  </rdn>
  <rdn rId="0" localSheetId="4" customView="1" name="Z_DF69299D_7752_4436_A45D_28F739CEE21B_.wvu.PrintArea" hidden="1" oldHidden="1">
    <formula>'COMMUNITY SERV'!$A$1:$Q$102</formula>
    <oldFormula>'COMMUNITY SERV'!$A$1:$Q$102</oldFormula>
  </rdn>
  <rdn rId="0" localSheetId="4" customView="1" name="Z_DF69299D_7752_4436_A45D_28F739CEE21B_.wvu.Cols" hidden="1" oldHidden="1">
    <formula>'COMMUNITY SERV'!$P:$P</formula>
    <oldFormula>'COMMUNITY SERV'!$P:$P</oldFormula>
  </rdn>
  <rdn rId="0" localSheetId="5" customView="1" name="Z_DF69299D_7752_4436_A45D_28F739CEE21B_.wvu.PrintArea" hidden="1" oldHidden="1">
    <formula>EEM!$A$1:$Q$97</formula>
    <oldFormula>EEM!$A$1:$Q$97</oldFormula>
  </rdn>
  <rdn rId="0" localSheetId="6" customView="1" name="Z_DF69299D_7752_4436_A45D_28F739CEE21B_.wvu.PrintArea" hidden="1" oldHidden="1">
    <formula>CEM!$A$1:$Q$146</formula>
    <oldFormula>CEM!$A$1:$Q$146</oldFormula>
  </rdn>
  <rdn rId="0" localSheetId="6" customView="1" name="Z_DF69299D_7752_4436_A45D_28F739CEE21B_.wvu.Rows" hidden="1" oldHidden="1">
    <formula>CEM!$141:$141</formula>
    <oldFormula>CEM!$141:$141</oldFormula>
  </rdn>
  <rdn rId="0" localSheetId="6" customView="1" name="Z_DF69299D_7752_4436_A45D_28F739CEE21B_.wvu.Cols" hidden="1" oldHidden="1">
    <formula>CEM!$P:$P</formula>
    <oldFormula>CEM!$P:$P</oldFormula>
  </rdn>
  <rdn rId="0" localSheetId="7" customView="1" name="Z_DF69299D_7752_4436_A45D_28F739CEE21B_.wvu.PrintArea" hidden="1" oldHidden="1">
    <formula>MDC!$A$1:$Q$90</formula>
    <oldFormula>MDC!$A$1:$Q$90</oldFormula>
  </rdn>
  <rdn rId="0" localSheetId="7" customView="1" name="Z_DF69299D_7752_4436_A45D_28F739CEE21B_.wvu.Rows" hidden="1" oldHidden="1">
    <formula>MDC!$67:$73</formula>
    <oldFormula>MDC!$67:$73</oldFormula>
  </rdn>
  <rdn rId="0" localSheetId="7" customView="1" name="Z_DF69299D_7752_4436_A45D_28F739CEE21B_.wvu.Cols" hidden="1" oldHidden="1">
    <formula>MDC!$J:$J,MDC!$P:$P</formula>
    <oldFormula>MDC!$J:$J,MDC!$P:$P</oldFormula>
  </rdn>
  <rdn rId="0" localSheetId="8" customView="1" name="Z_DF69299D_7752_4436_A45D_28F739CEE21B_.wvu.PrintArea" hidden="1" oldHidden="1">
    <formula>BUDGET!$A$1:$B$76</formula>
    <oldFormula>BUDGET!$A$1:$B$76</oldFormula>
  </rdn>
  <rdn rId="0" localSheetId="8" customView="1" name="Z_DF69299D_7752_4436_A45D_28F739CEE21B_.wvu.Rows" hidden="1" oldHidden="1">
    <formula>BUDGET!$3:$7,BUDGET!$9:$9,BUDGET!$11:$11,BUDGET!$13:$16,BUDGET!$18:$21,BUDGET!$23:$23,BUDGET!$25:$28,BUDGET!$30:$36,BUDGET!$38:$38,BUDGET!$40:$40,BUDGET!$42:$47,BUDGET!$49:$49,BUDGET!$51:$54,BUDGET!$56:$59,BUDGET!$61:$66,BUDGET!$68:$68,BUDGET!$70:$70</formula>
    <oldFormula>BUDGET!$3:$7,BUDGET!$9:$9,BUDGET!$11:$11,BUDGET!$13:$16,BUDGET!$18:$21,BUDGET!$23:$23,BUDGET!$25:$28,BUDGET!$30:$36,BUDGET!$38:$38,BUDGET!$40:$40,BUDGET!$42:$47,BUDGET!$49:$49,BUDGET!$51:$54,BUDGET!$56:$59,BUDGET!$61:$66,BUDGET!$68:$68,BUDGET!$70:$70</oldFormula>
  </rdn>
  <rdn rId="0" localSheetId="8" customView="1" name="Z_DF69299D_7752_4436_A45D_28F739CEE21B_.wvu.Cols" hidden="1" oldHidden="1">
    <formula>BUDGET!$C:$S</formula>
    <oldFormula>BUDGET!$C:$S</oldFormula>
  </rdn>
  <rdn rId="0" localSheetId="10" customView="1" name="Z_DF69299D_7752_4436_A45D_28F739CEE21B_.wvu.FilterData" hidden="1" oldHidden="1">
    <formula>orig!$A$1:$AN$198</formula>
    <oldFormula>orig!$A$1:$AN$198</oldFormula>
  </rdn>
  <rdn rId="0" localSheetId="11" customView="1" name="Z_DF69299D_7752_4436_A45D_28F739CEE21B_.wvu.Cols" hidden="1" oldHidden="1">
    <formula>'1-10'!$B:$B</formula>
    <oldFormula>'1-10'!$B:$B</oldFormula>
  </rdn>
  <rdn rId="0" localSheetId="11" customView="1" name="Z_DF69299D_7752_4436_A45D_28F739CEE21B_.wvu.FilterData" hidden="1" oldHidden="1">
    <formula>'1-10'!$A$1:$AY$100</formula>
    <oldFormula>'1-10'!$A$1:$AY$100</oldFormula>
  </rdn>
  <rdn rId="0" localSheetId="12" customView="1" name="Z_DF69299D_7752_4436_A45D_28F739CEE21B_.wvu.Rows" hidden="1" oldHidden="1">
    <formula>'new veh 2012'!$96:$97</formula>
    <oldFormula>'new veh 2012'!$96:$97</oldFormula>
  </rdn>
  <rdn rId="0" localSheetId="12" customView="1" name="Z_DF69299D_7752_4436_A45D_28F739CEE21B_.wvu.FilterData" hidden="1" oldHidden="1">
    <formula>'new veh 2012'!$A$1:$J$95</formula>
    <oldFormula>'new veh 2012'!$A$1:$J$95</oldFormula>
  </rdn>
  <rdn rId="0" localSheetId="14" customView="1" name="Z_DF69299D_7752_4436_A45D_28F739CEE21B_.wvu.FilterData" hidden="1" oldHidden="1">
    <formula>stbk!$A$1:$G$199</formula>
    <oldFormula>stbk!$A$1:$G$199</oldFormula>
  </rdn>
  <rcv guid="{DF69299D-7752-4436-A45D-28F739CEE21B}" action="add"/>
</revisions>
</file>

<file path=xl/revisions/revisionLog1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11" sId="5">
    <oc r="G80">
      <f>8500*(1+CALC!$A$2)</f>
    </oc>
    <nc r="G80">
      <f>CALC!$A$22*(I80/CEM!I$146)</f>
    </nc>
  </rcc>
  <rcc rId="3712" sId="5" odxf="1" dxf="1">
    <oc r="G86">
      <f>710*(1+CALC!$A$2)</f>
    </oc>
    <nc r="G86">
      <f>CALC!$A$22*(I86/CEM!I$146)</f>
    </nc>
    <odxf>
      <fill>
        <patternFill patternType="solid">
          <bgColor theme="6"/>
        </patternFill>
      </fill>
    </odxf>
    <ndxf>
      <fill>
        <patternFill patternType="none">
          <bgColor indexed="65"/>
        </patternFill>
      </fill>
    </ndxf>
  </rcc>
  <rcc rId="3713" sId="5" odxf="1" dxf="1">
    <oc r="G87">
      <f>710*(1+CALC!$A$2)</f>
    </oc>
    <nc r="G87">
      <f>CALC!$A$22*(I87/CEM!I$146)</f>
    </nc>
    <odxf>
      <fill>
        <patternFill patternType="solid">
          <bgColor theme="6"/>
        </patternFill>
      </fill>
    </odxf>
    <ndxf>
      <fill>
        <patternFill patternType="none">
          <bgColor indexed="65"/>
        </patternFill>
      </fill>
    </ndxf>
  </rcc>
  <rcc rId="3714" sId="5" odxf="1" dxf="1">
    <oc r="G88">
      <f>710*(1+CALC!$A$2)</f>
    </oc>
    <nc r="G88">
      <f>CALC!$A$22*(I88/CEM!I$146)</f>
    </nc>
    <odxf>
      <fill>
        <patternFill patternType="solid">
          <bgColor theme="6"/>
        </patternFill>
      </fill>
    </odxf>
    <ndxf>
      <fill>
        <patternFill patternType="none">
          <bgColor indexed="65"/>
        </patternFill>
      </fill>
    </ndxf>
  </rcc>
  <rcc rId="3715" sId="5" odxf="1" dxf="1">
    <oc r="G89">
      <f>710*(1+CALC!$A$2)</f>
    </oc>
    <nc r="G89">
      <f>CALC!$A$22*(I89/CEM!I$146)</f>
    </nc>
    <odxf>
      <fill>
        <patternFill patternType="solid">
          <bgColor theme="6"/>
        </patternFill>
      </fill>
    </odxf>
    <ndxf>
      <fill>
        <patternFill patternType="none">
          <bgColor indexed="65"/>
        </patternFill>
      </fill>
    </ndxf>
  </rcc>
  <rcc rId="3716" sId="5" odxf="1" dxf="1">
    <oc r="G90">
      <f>710*(1+CALC!$A$2)</f>
    </oc>
    <nc r="G90">
      <f>CALC!$A$22*(I90/CEM!I$146)</f>
    </nc>
    <odxf>
      <fill>
        <patternFill patternType="solid">
          <bgColor theme="6"/>
        </patternFill>
      </fill>
    </odxf>
    <ndxf>
      <fill>
        <patternFill patternType="none">
          <bgColor indexed="65"/>
        </patternFill>
      </fill>
    </ndxf>
  </rcc>
  <rcc rId="3717" sId="5" odxf="1" dxf="1">
    <nc r="G91">
      <f>CALC!$A$22*(I91/CEM!I$146)</f>
    </nc>
    <odxf>
      <fill>
        <patternFill patternType="solid">
          <bgColor theme="6"/>
        </patternFill>
      </fill>
    </odxf>
    <ndxf>
      <fill>
        <patternFill patternType="none">
          <bgColor indexed="65"/>
        </patternFill>
      </fill>
    </ndxf>
  </rcc>
  <rcc rId="3718" sId="5" odxf="1" dxf="1">
    <oc r="G92">
      <f>710*(1+CALC!$A$2)</f>
    </oc>
    <nc r="G92">
      <f>CALC!$A$22*(I92/CEM!I$146)</f>
    </nc>
    <odxf>
      <fill>
        <patternFill patternType="solid">
          <bgColor theme="6"/>
        </patternFill>
      </fill>
    </odxf>
    <ndxf>
      <fill>
        <patternFill patternType="none">
          <bgColor indexed="65"/>
        </patternFill>
      </fill>
    </ndxf>
  </rcc>
</revisions>
</file>

<file path=xl/revisions/revisionLog1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19" sId="7" odxf="1" dxf="1">
    <oc r="G83">
      <f>9900*(1+CALC!$A$2)</f>
    </oc>
    <nc r="G83">
      <f>CALC!$A$22*(I83/CEM!I$146)</f>
    </nc>
    <odxf>
      <fill>
        <patternFill patternType="solid">
          <bgColor theme="6"/>
        </patternFill>
      </fill>
    </odxf>
    <ndxf>
      <fill>
        <patternFill patternType="none">
          <bgColor indexed="65"/>
        </patternFill>
      </fill>
    </ndxf>
  </rcc>
  <rcc rId="3720" sId="7" odxf="1" dxf="1">
    <oc r="G62">
      <f>8600*(1+CALC!$A$2)</f>
    </oc>
    <nc r="G62">
      <f>CALC!$A$22*(I62/CEM!I$146)</f>
    </nc>
    <odxf>
      <fill>
        <patternFill patternType="solid">
          <bgColor theme="6"/>
        </patternFill>
      </fill>
    </odxf>
    <ndxf>
      <fill>
        <patternFill patternType="none">
          <bgColor indexed="65"/>
        </patternFill>
      </fill>
    </ndxf>
  </rcc>
  <rcc rId="3721" sId="7" odxf="1" dxf="1">
    <oc r="G56">
      <f>710*(1+CALC!$A$2)</f>
    </oc>
    <nc r="G56">
      <f>CALC!$A$22*(I56/CEM!I$146)</f>
    </nc>
    <odxf>
      <fill>
        <patternFill patternType="solid">
          <bgColor theme="6"/>
        </patternFill>
      </fill>
    </odxf>
    <ndxf>
      <fill>
        <patternFill patternType="none">
          <bgColor indexed="65"/>
        </patternFill>
      </fill>
    </ndxf>
  </rcc>
  <rcc rId="3722" sId="7" odxf="1" dxf="1">
    <oc r="G44">
      <f>6057.27*(1+CALC!$A$2)</f>
    </oc>
    <nc r="G44">
      <f>CALC!$A$22*(I44/CEM!I$146)</f>
    </nc>
    <odxf>
      <font>
        <b/>
        <sz val="8"/>
        <name val="Consolas"/>
        <family val="3"/>
      </font>
    </odxf>
    <ndxf>
      <font>
        <b val="0"/>
        <sz val="8"/>
        <name val="Consolas"/>
        <family val="3"/>
      </font>
    </ndxf>
  </rcc>
  <rcc rId="3723" sId="7" odxf="1" dxf="1">
    <oc r="G39">
      <f>6057.27*(1+CALC!$A$2)</f>
    </oc>
    <nc r="G39">
      <f>CALC!$A$22*(I39/CEM!I$146)</f>
    </nc>
    <odxf>
      <font>
        <b/>
        <sz val="8"/>
        <name val="Consolas"/>
        <family val="3"/>
      </font>
    </odxf>
    <ndxf>
      <font>
        <b val="0"/>
        <sz val="8"/>
        <name val="Consolas"/>
        <family val="3"/>
      </font>
    </ndxf>
  </rcc>
  <rcc rId="3724" sId="7" odxf="1" dxf="1">
    <oc r="G34">
      <f>6057.27*(1+CALC!$A$2)</f>
    </oc>
    <nc r="G34">
      <f>CALC!$A$22*(I34/CEM!I$146)</f>
    </nc>
    <odxf>
      <font>
        <b/>
        <sz val="8"/>
        <name val="Consolas"/>
        <family val="3"/>
      </font>
    </odxf>
    <ndxf>
      <font>
        <b val="0"/>
        <sz val="8"/>
        <name val="Consolas"/>
        <family val="3"/>
      </font>
    </ndxf>
  </rcc>
</revisions>
</file>

<file path=xl/revisions/revisionLog1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25" sId="7" odxf="1" dxf="1">
    <oc r="G29">
      <f>6057.27*(1+CALC!$A$2)</f>
    </oc>
    <nc r="G29">
      <f>CALC!$A$22*(I29/CEM!I$146)</f>
    </nc>
    <odxf>
      <font>
        <b/>
        <sz val="8"/>
        <name val="Consolas"/>
        <family val="3"/>
      </font>
    </odxf>
    <ndxf>
      <font>
        <b val="0"/>
        <sz val="8"/>
        <name val="Consolas"/>
        <family val="3"/>
      </font>
    </ndxf>
  </rcc>
  <rcc rId="3726" sId="7">
    <oc r="G22">
      <f>5482*(1+CALC!$A$2)</f>
    </oc>
    <nc r="G22">
      <f>CALC!$A$22*(I22/CEM!I$146)</f>
    </nc>
  </rcc>
  <rcc rId="3727" sId="7">
    <oc r="G23">
      <f>5482*(1+CALC!$A$2)</f>
    </oc>
    <nc r="G23">
      <f>CALC!$A$22*(I23/CEM!I$146)</f>
    </nc>
  </rcc>
  <rcc rId="3728" sId="7">
    <oc r="G24">
      <f>5482*(1+CALC!$A$2)</f>
    </oc>
    <nc r="G24">
      <f>CALC!$A$22*(I24/CEM!I$146)</f>
    </nc>
  </rcc>
  <rcc rId="3729" sId="7">
    <oc r="G7">
      <f>5482*(1+CALC!$A$2)</f>
    </oc>
    <nc r="G7">
      <f>CALC!$A$22*(I7/CEM!I$146)</f>
    </nc>
  </rcc>
  <rcc rId="3730" sId="7">
    <oc r="G8">
      <f>5482*(1+CALC!$A$2)</f>
    </oc>
    <nc r="G8">
      <f>CALC!$A$22*(I8/CEM!I$146)</f>
    </nc>
  </rcc>
  <rcc rId="3731" sId="7">
    <oc r="G9">
      <f>5482*(1+CALC!$A$2)</f>
    </oc>
    <nc r="G9">
      <f>CALC!$A$22*(I9/CEM!I$146)</f>
    </nc>
  </rcc>
  <rcc rId="3732" sId="7">
    <oc r="G10">
      <f>5482*(1+CALC!$A$2)</f>
    </oc>
    <nc r="G10">
      <f>CALC!$A$22*(I10/CEM!I$146)</f>
    </nc>
  </rcc>
  <rcc rId="3733" sId="7">
    <oc r="G11">
      <f>5482*(1+CALC!$A$2)</f>
    </oc>
    <nc r="G11">
      <f>CALC!$A$22*(I11/CEM!I$146)</f>
    </nc>
  </rcc>
  <rcc rId="3734" sId="7">
    <oc r="G12">
      <f>5482*(1+CALC!$A$2)</f>
    </oc>
    <nc r="G12">
      <f>CALC!$A$22*(I12/CEM!I$146)</f>
    </nc>
  </rcc>
  <rcc rId="3735" sId="7">
    <oc r="G13">
      <f>5482*(1+CALC!$A$2)</f>
    </oc>
    <nc r="G13">
      <f>CALC!$A$22*(I13/CEM!I$146)</f>
    </nc>
  </rcc>
  <rcc rId="3736" sId="7">
    <oc r="G14">
      <f>5482*(1+CALC!$A$2)</f>
    </oc>
    <nc r="G14">
      <f>CALC!$A$22*(I14/CEM!I$146)</f>
    </nc>
  </rcc>
  <rcc rId="3737" sId="7">
    <oc r="G15">
      <f>5482*(1+CALC!$A$2)</f>
    </oc>
    <nc r="G15">
      <f>CALC!$A$22*(I15/CEM!I$146)</f>
    </nc>
  </rcc>
  <rcc rId="3738" sId="7">
    <oc r="G16">
      <f>5482*(1+CALC!$A$2)</f>
    </oc>
    <nc r="G16">
      <f>CALC!$A$22*(I16/CEM!I$146)</f>
    </nc>
  </rcc>
</revisions>
</file>

<file path=xl/revisions/revisionLog1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39" sId="3">
    <oc r="G8">
      <f>5500*(1+CALC!$A$2)</f>
    </oc>
    <nc r="G8">
      <f>CALC!$A$22*(I8/CEM!I$146)</f>
    </nc>
  </rcc>
  <rcc rId="3740" sId="3">
    <oc r="G9">
      <f>5500*(1+CALC!$A$2)</f>
    </oc>
    <nc r="G9">
      <f>CALC!$A$22*(I9/CEM!I$146)</f>
    </nc>
  </rcc>
  <rcc rId="3741" sId="3">
    <oc r="G10">
      <f>5500*(1+CALC!$A$2)</f>
    </oc>
    <nc r="G10">
      <f>CALC!$A$22*(I10/CEM!I$146)</f>
    </nc>
  </rcc>
  <rcc rId="3742" sId="3">
    <oc r="G15">
      <f>5500*(1+CALC!$A$2)</f>
    </oc>
    <nc r="G15">
      <f>CALC!$A$22*(I15/CEM!I$146)</f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4" sqref="A21:C21">
    <dxf>
      <fill>
        <patternFill patternType="solid">
          <bgColor rgb="FFFFFF00"/>
        </patternFill>
      </fill>
    </dxf>
  </rfmt>
</revisions>
</file>

<file path=xl/revisions/revisionLog1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43" sId="9">
    <oc r="A22">
      <v>622500</v>
    </oc>
    <nc r="A22">
      <f>622500*1.06</f>
    </nc>
  </rcc>
</revisions>
</file>

<file path=xl/revisions/revisionLog1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44" sId="6" odxf="1" dxf="1">
    <nc r="G118">
      <f>CALC!$A$22*(CEM!I118/CEM!I$146)</f>
    </nc>
    <odxf/>
    <ndxf/>
  </rcc>
  <rcc rId="3745" sId="6" odxf="1" dxf="1">
    <oc r="G119">
      <f>800*(1+CALC!$A$2)</f>
    </oc>
    <nc r="G119">
      <f>CALC!$A$22*(CEM!I119/CEM!I$146)</f>
    </nc>
    <odxf>
      <fill>
        <patternFill patternType="solid">
          <bgColor theme="6"/>
        </patternFill>
      </fill>
    </odxf>
    <ndxf>
      <fill>
        <patternFill patternType="none">
          <bgColor indexed="65"/>
        </patternFill>
      </fill>
    </ndxf>
  </rcc>
  <rcc rId="3746" sId="6" odxf="1" dxf="1">
    <oc r="G120">
      <f>800*(1+CALC!$A$2)</f>
    </oc>
    <nc r="G120">
      <f>CALC!$A$22*(CEM!I120/CEM!I$146)</f>
    </nc>
    <odxf>
      <fill>
        <patternFill patternType="solid">
          <bgColor theme="6"/>
        </patternFill>
      </fill>
    </odxf>
    <ndxf>
      <fill>
        <patternFill patternType="none">
          <bgColor indexed="65"/>
        </patternFill>
      </fill>
    </ndxf>
  </rcc>
  <rcc rId="3747" sId="6" odxf="1" dxf="1">
    <oc r="G121">
      <f>800*(1+CALC!$A$2)</f>
    </oc>
    <nc r="G121">
      <f>CALC!$A$22*(CEM!I121/CEM!I$146)</f>
    </nc>
    <odxf>
      <fill>
        <patternFill patternType="solid">
          <bgColor theme="6"/>
        </patternFill>
      </fill>
    </odxf>
    <ndxf>
      <fill>
        <patternFill patternType="none">
          <bgColor indexed="65"/>
        </patternFill>
      </fill>
    </ndxf>
  </rcc>
  <rcc rId="3748" sId="6" odxf="1" dxf="1">
    <oc r="G128">
      <f>800*(1+CALC!$A$2)</f>
    </oc>
    <nc r="G128">
      <f>CALC!$A$22*(CEM!I128/CEM!I$146)</f>
    </nc>
    <odxf>
      <fill>
        <patternFill patternType="solid">
          <bgColor theme="6"/>
        </patternFill>
      </fill>
    </odxf>
    <ndxf>
      <fill>
        <patternFill patternType="none">
          <bgColor indexed="65"/>
        </patternFill>
      </fill>
    </ndxf>
  </rcc>
</revisions>
</file>

<file path=xl/revisions/revisionLog1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49" sId="4">
    <nc r="A58" t="inlineStr">
      <is>
        <t>FRK 231 L</t>
      </is>
    </nc>
  </rcc>
  <rcc rId="3750" sId="4">
    <nc r="B58" t="inlineStr">
      <is>
        <t>Test Station Trailer</t>
      </is>
    </nc>
  </rcc>
  <rcc rId="3751" sId="4">
    <nc r="K58">
      <f>8358*1.06</f>
    </nc>
  </rcc>
  <rfmt sheetId="4" sqref="K58">
    <dxf>
      <fill>
        <patternFill patternType="solid">
          <bgColor rgb="FF7030A0"/>
        </patternFill>
      </fill>
    </dxf>
  </rfmt>
  <rcc rId="3752" sId="4" numFmtId="34">
    <nc r="H58">
      <v>25000</v>
    </nc>
  </rcc>
  <rcv guid="{DF69299D-7752-4436-A45D-28F739CEE21B}" action="delete"/>
  <rdn rId="0" localSheetId="1" customView="1" name="Z_DF69299D_7752_4436_A45D_28F739CEE21B_.wvu.PrintArea" hidden="1" oldHidden="1">
    <formula>mayor!$A$1:$Q$42</formula>
    <oldFormula>mayor!$A$1:$Q$42</oldFormula>
  </rdn>
  <rdn rId="0" localSheetId="1" customView="1" name="Z_DF69299D_7752_4436_A45D_28F739CEE21B_.wvu.Cols" hidden="1" oldHidden="1">
    <formula>mayor!$P:$P</formula>
    <oldFormula>mayor!$P:$P</oldFormula>
  </rdn>
  <rdn rId="0" localSheetId="1" customView="1" name="Z_DF69299D_7752_4436_A45D_28F739CEE21B_.wvu.FilterData" hidden="1" oldHidden="1">
    <formula>mayor!$A$16:$C$16</formula>
    <oldFormula>mayor!$A$16:$C$16</oldFormula>
  </rdn>
  <rdn rId="0" localSheetId="2" customView="1" name="Z_DF69299D_7752_4436_A45D_28F739CEE21B_.wvu.PrintArea" hidden="1" oldHidden="1">
    <formula>income!$A$1:$Q$16</formula>
    <oldFormula>income!$A$1:$Q$16</oldFormula>
  </rdn>
  <rdn rId="0" localSheetId="2" customView="1" name="Z_DF69299D_7752_4436_A45D_28F739CEE21B_.wvu.Cols" hidden="1" oldHidden="1">
    <formula>income!$P:$P</formula>
    <oldFormula>income!$P:$P</oldFormula>
  </rdn>
  <rdn rId="0" localSheetId="3" customView="1" name="Z_DF69299D_7752_4436_A45D_28F739CEE21B_.wvu.PrintArea" hidden="1" oldHidden="1">
    <formula>workshop!$A$1:$Q$20</formula>
    <oldFormula>workshop!$A$1:$Q$20</oldFormula>
  </rdn>
  <rdn rId="0" localSheetId="3" customView="1" name="Z_DF69299D_7752_4436_A45D_28F739CEE21B_.wvu.Cols" hidden="1" oldHidden="1">
    <formula>workshop!$J:$J,workshop!$P:$P</formula>
    <oldFormula>workshop!$J:$J,workshop!$P:$P</oldFormula>
  </rdn>
  <rdn rId="0" localSheetId="4" customView="1" name="Z_DF69299D_7752_4436_A45D_28F739CEE21B_.wvu.PrintArea" hidden="1" oldHidden="1">
    <formula>'COMMUNITY SERV'!$A$1:$Q$102</formula>
    <oldFormula>'COMMUNITY SERV'!$A$1:$Q$102</oldFormula>
  </rdn>
  <rdn rId="0" localSheetId="4" customView="1" name="Z_DF69299D_7752_4436_A45D_28F739CEE21B_.wvu.Cols" hidden="1" oldHidden="1">
    <formula>'COMMUNITY SERV'!$P:$P</formula>
    <oldFormula>'COMMUNITY SERV'!$P:$P</oldFormula>
  </rdn>
  <rdn rId="0" localSheetId="5" customView="1" name="Z_DF69299D_7752_4436_A45D_28F739CEE21B_.wvu.PrintArea" hidden="1" oldHidden="1">
    <formula>EEM!$A$1:$Q$97</formula>
    <oldFormula>EEM!$A$1:$Q$97</oldFormula>
  </rdn>
  <rdn rId="0" localSheetId="6" customView="1" name="Z_DF69299D_7752_4436_A45D_28F739CEE21B_.wvu.PrintArea" hidden="1" oldHidden="1">
    <formula>CEM!$A$1:$Q$146</formula>
    <oldFormula>CEM!$A$1:$Q$146</oldFormula>
  </rdn>
  <rdn rId="0" localSheetId="6" customView="1" name="Z_DF69299D_7752_4436_A45D_28F739CEE21B_.wvu.Rows" hidden="1" oldHidden="1">
    <formula>CEM!$141:$141</formula>
    <oldFormula>CEM!$141:$141</oldFormula>
  </rdn>
  <rdn rId="0" localSheetId="6" customView="1" name="Z_DF69299D_7752_4436_A45D_28F739CEE21B_.wvu.Cols" hidden="1" oldHidden="1">
    <formula>CEM!$P:$P</formula>
    <oldFormula>CEM!$P:$P</oldFormula>
  </rdn>
  <rdn rId="0" localSheetId="7" customView="1" name="Z_DF69299D_7752_4436_A45D_28F739CEE21B_.wvu.PrintArea" hidden="1" oldHidden="1">
    <formula>MDC!$A$1:$Q$90</formula>
    <oldFormula>MDC!$A$1:$Q$90</oldFormula>
  </rdn>
  <rdn rId="0" localSheetId="7" customView="1" name="Z_DF69299D_7752_4436_A45D_28F739CEE21B_.wvu.Rows" hidden="1" oldHidden="1">
    <formula>MDC!$67:$73</formula>
    <oldFormula>MDC!$67:$73</oldFormula>
  </rdn>
  <rdn rId="0" localSheetId="7" customView="1" name="Z_DF69299D_7752_4436_A45D_28F739CEE21B_.wvu.Cols" hidden="1" oldHidden="1">
    <formula>MDC!$J:$J,MDC!$P:$P</formula>
    <oldFormula>MDC!$J:$J,MDC!$P:$P</oldFormula>
  </rdn>
  <rdn rId="0" localSheetId="8" customView="1" name="Z_DF69299D_7752_4436_A45D_28F739CEE21B_.wvu.PrintArea" hidden="1" oldHidden="1">
    <formula>BUDGET!$A$1:$B$76</formula>
    <oldFormula>BUDGET!$A$1:$B$76</oldFormula>
  </rdn>
  <rdn rId="0" localSheetId="8" customView="1" name="Z_DF69299D_7752_4436_A45D_28F739CEE21B_.wvu.Rows" hidden="1" oldHidden="1">
    <formula>BUDGET!$3:$7,BUDGET!$9:$9,BUDGET!$11:$11,BUDGET!$13:$16,BUDGET!$18:$21,BUDGET!$23:$23,BUDGET!$25:$28,BUDGET!$30:$36,BUDGET!$38:$38,BUDGET!$40:$40,BUDGET!$42:$47,BUDGET!$49:$49,BUDGET!$51:$54,BUDGET!$56:$59,BUDGET!$61:$66,BUDGET!$68:$68,BUDGET!$70:$70</formula>
    <oldFormula>BUDGET!$3:$7,BUDGET!$9:$9,BUDGET!$11:$11,BUDGET!$13:$16,BUDGET!$18:$21,BUDGET!$23:$23,BUDGET!$25:$28,BUDGET!$30:$36,BUDGET!$38:$38,BUDGET!$40:$40,BUDGET!$42:$47,BUDGET!$49:$49,BUDGET!$51:$54,BUDGET!$56:$59,BUDGET!$61:$66,BUDGET!$68:$68,BUDGET!$70:$70</oldFormula>
  </rdn>
  <rdn rId="0" localSheetId="8" customView="1" name="Z_DF69299D_7752_4436_A45D_28F739CEE21B_.wvu.Cols" hidden="1" oldHidden="1">
    <formula>BUDGET!$C:$S</formula>
    <oldFormula>BUDGET!$C:$S</oldFormula>
  </rdn>
  <rdn rId="0" localSheetId="10" customView="1" name="Z_DF69299D_7752_4436_A45D_28F739CEE21B_.wvu.FilterData" hidden="1" oldHidden="1">
    <formula>orig!$A$1:$AN$198</formula>
    <oldFormula>orig!$A$1:$AN$198</oldFormula>
  </rdn>
  <rdn rId="0" localSheetId="11" customView="1" name="Z_DF69299D_7752_4436_A45D_28F739CEE21B_.wvu.Cols" hidden="1" oldHidden="1">
    <formula>'1-10'!$B:$B</formula>
    <oldFormula>'1-10'!$B:$B</oldFormula>
  </rdn>
  <rdn rId="0" localSheetId="11" customView="1" name="Z_DF69299D_7752_4436_A45D_28F739CEE21B_.wvu.FilterData" hidden="1" oldHidden="1">
    <formula>'1-10'!$A$1:$AY$100</formula>
    <oldFormula>'1-10'!$A$1:$AY$100</oldFormula>
  </rdn>
  <rdn rId="0" localSheetId="12" customView="1" name="Z_DF69299D_7752_4436_A45D_28F739CEE21B_.wvu.Rows" hidden="1" oldHidden="1">
    <formula>'new veh 2012'!$96:$97</formula>
    <oldFormula>'new veh 2012'!$96:$97</oldFormula>
  </rdn>
  <rdn rId="0" localSheetId="12" customView="1" name="Z_DF69299D_7752_4436_A45D_28F739CEE21B_.wvu.FilterData" hidden="1" oldHidden="1">
    <formula>'new veh 2012'!$A$1:$J$95</formula>
    <oldFormula>'new veh 2012'!$A$1:$J$95</oldFormula>
  </rdn>
  <rdn rId="0" localSheetId="14" customView="1" name="Z_DF69299D_7752_4436_A45D_28F739CEE21B_.wvu.FilterData" hidden="1" oldHidden="1">
    <formula>stbk!$A$1:$G$199</formula>
    <oldFormula>stbk!$A$1:$G$199</oldFormula>
  </rdn>
  <rcv guid="{DF69299D-7752-4436-A45D-28F739CEE21B}" action="add"/>
</revisions>
</file>

<file path=xl/revisions/revisionLog1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78" sId="4" numFmtId="4">
    <oc r="D73">
      <v>40000</v>
    </oc>
    <nc r="D73">
      <v>2000</v>
    </nc>
  </rcc>
  <rcc rId="3779" sId="4" numFmtId="34">
    <oc r="H73">
      <v>60000</v>
    </oc>
    <nc r="H73">
      <v>30000</v>
    </nc>
  </rcc>
</revisions>
</file>

<file path=xl/revisions/revisionLog1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80" sId="4">
    <nc r="A73" t="inlineStr">
      <is>
        <t>UD Truck horse</t>
      </is>
    </nc>
  </rcc>
</revisions>
</file>

<file path=xl/revisions/revisionLog1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3781" sId="4" ref="A92:XFD92" action="insertRow">
    <undo index="65535" exp="area" ref3D="1" dr="$P$1:$P$1048576" dn="Z_DF69299D_7752_4436_A45D_28F739CEE21B_.wvu.Cols" sId="4"/>
  </rrc>
  <rfmt sheetId="4" sqref="A92:C92">
    <dxf>
      <fill>
        <patternFill>
          <bgColor theme="0"/>
        </patternFill>
      </fill>
    </dxf>
  </rfmt>
  <rcc rId="3782" sId="4">
    <nc r="A92" t="inlineStr">
      <is>
        <t>Hino 500</t>
      </is>
    </nc>
  </rcc>
  <rcc rId="3783" sId="4">
    <nc r="B92" t="inlineStr">
      <is>
        <t>FRK 226 L</t>
      </is>
    </nc>
  </rcc>
  <rcc rId="3784" sId="4" numFmtId="4">
    <nc r="D92">
      <v>42000</v>
    </nc>
  </rcc>
  <rcc rId="3785" sId="4">
    <nc r="E92">
      <f>+D92/P92*(CALC!$A$4)</f>
    </nc>
  </rcc>
  <rcc rId="3786" sId="4" numFmtId="34">
    <nc r="F92">
      <v>23400</v>
    </nc>
  </rcc>
  <rcc rId="3787" sId="4">
    <nc r="G92">
      <f>CALC!$A$22*(I92/CEM!I$146)</f>
    </nc>
  </rcc>
  <rcc rId="3788" sId="4" numFmtId="34">
    <nc r="I92">
      <v>43548.24</v>
    </nc>
  </rcc>
  <rcc rId="3789" sId="4">
    <nc r="M92">
      <f>SUM(E92:L92)</f>
    </nc>
  </rcc>
  <rcc rId="3790" sId="4">
    <nc r="N92">
      <f>M92/CALC!$A$8*CALC!$A$6</f>
    </nc>
  </rcc>
  <rcc rId="3791" sId="4">
    <nc r="O92">
      <f>+M92+N92</f>
    </nc>
  </rcc>
  <rcc rId="3792" sId="4">
    <oc r="D93">
      <f>SUM(D89:D91)</f>
    </oc>
    <nc r="D93">
      <f>SUM(D89:D92)</f>
    </nc>
  </rcc>
  <rcc rId="3793" sId="4" odxf="1" s="1" dxf="1">
    <oc r="E93">
      <f>SUM(E89:E91)</f>
    </oc>
    <nc r="E93">
      <f>SUM(E89:E92)</f>
    </nc>
    <o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onsolas"/>
        <family val="3"/>
        <scheme val="none"/>
      </font>
      <numFmt numFmtId="35" formatCode="_(* #,##0.00_);_(* \(#,##0.00\);_(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numFmt numFmtId="167" formatCode="#,##0;[Red]#,##0"/>
      <alignment horizontal="center"/>
    </ndxf>
  </rcc>
  <rcc rId="3794" sId="4" odxf="1" s="1" dxf="1">
    <oc r="F93">
      <f>SUM(F89:F91)</f>
    </oc>
    <nc r="F93">
      <f>SUM(F89:F92)</f>
    </nc>
    <o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onsolas"/>
        <family val="3"/>
        <scheme val="none"/>
      </font>
      <numFmt numFmtId="35" formatCode="_(* #,##0.00_);_(* \(#,##0.00\);_(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numFmt numFmtId="167" formatCode="#,##0;[Red]#,##0"/>
      <alignment horizontal="center"/>
    </ndxf>
  </rcc>
  <rcc rId="3795" sId="4" odxf="1" s="1" dxf="1">
    <oc r="G93">
      <f>SUM(G89:G91)</f>
    </oc>
    <nc r="G93">
      <f>SUM(G89:G92)</f>
    </nc>
    <o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onsolas"/>
        <family val="3"/>
        <scheme val="none"/>
      </font>
      <numFmt numFmtId="35" formatCode="_(* #,##0.00_);_(* \(#,##0.00\);_(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numFmt numFmtId="167" formatCode="#,##0;[Red]#,##0"/>
      <alignment horizontal="center"/>
    </ndxf>
  </rcc>
  <rcc rId="3796" sId="4" odxf="1" s="1" dxf="1">
    <oc r="H93">
      <f>SUM(H89:H91)</f>
    </oc>
    <nc r="H93">
      <f>SUM(H89:H92)</f>
    </nc>
    <o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onsolas"/>
        <family val="3"/>
        <scheme val="none"/>
      </font>
      <numFmt numFmtId="35" formatCode="_(* #,##0.00_);_(* \(#,##0.00\);_(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numFmt numFmtId="167" formatCode="#,##0;[Red]#,##0"/>
      <alignment horizontal="center"/>
    </ndxf>
  </rcc>
  <rcc rId="3797" sId="4" odxf="1" s="1" dxf="1">
    <oc r="I93">
      <f>SUM(I89:I91)</f>
    </oc>
    <nc r="I93">
      <f>SUM(I89:I92)</f>
    </nc>
    <o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onsolas"/>
        <family val="3"/>
        <scheme val="none"/>
      </font>
      <numFmt numFmtId="35" formatCode="_(* #,##0.00_);_(* \(#,##0.00\);_(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numFmt numFmtId="167" formatCode="#,##0;[Red]#,##0"/>
      <alignment horizontal="center"/>
    </ndxf>
  </rcc>
  <rcc rId="3798" sId="4" odxf="1" s="1" dxf="1">
    <oc r="J93">
      <f>SUM(J89:J91)</f>
    </oc>
    <nc r="J93">
      <f>SUM(J89:J92)</f>
    </nc>
    <o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onsolas"/>
        <family val="3"/>
        <scheme val="none"/>
      </font>
      <numFmt numFmtId="35" formatCode="_(* #,##0.00_);_(* \(#,##0.00\);_(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numFmt numFmtId="167" formatCode="#,##0;[Red]#,##0"/>
      <alignment horizontal="center"/>
    </ndxf>
  </rcc>
  <rcc rId="3799" sId="4" odxf="1" s="1" dxf="1">
    <oc r="K93">
      <f>SUM(K89:K91)</f>
    </oc>
    <nc r="K93">
      <f>SUM(K89:K92)</f>
    </nc>
    <o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onsolas"/>
        <family val="3"/>
        <scheme val="none"/>
      </font>
      <numFmt numFmtId="35" formatCode="_(* #,##0.00_);_(* \(#,##0.00\);_(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numFmt numFmtId="167" formatCode="#,##0;[Red]#,##0"/>
      <alignment horizontal="center"/>
    </ndxf>
  </rcc>
  <rcc rId="3800" sId="4" odxf="1" s="1" dxf="1">
    <oc r="L93">
      <f>+L89+L90+L91</f>
    </oc>
    <nc r="L93">
      <f>SUM(L89:L92)</f>
    </nc>
    <o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onsolas"/>
        <family val="3"/>
        <scheme val="none"/>
      </font>
      <numFmt numFmtId="35" formatCode="_(* #,##0.00_);_(* \(#,##0.00\);_(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numFmt numFmtId="167" formatCode="#,##0;[Red]#,##0"/>
      <alignment horizontal="center"/>
    </ndxf>
  </rcc>
  <rcc rId="3801" sId="4" odxf="1" s="1" dxf="1">
    <oc r="M93">
      <f>SUM(M89:M91)</f>
    </oc>
    <nc r="M93">
      <f>SUM(M89:M92)</f>
    </nc>
    <o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onsolas"/>
        <family val="3"/>
        <scheme val="none"/>
      </font>
      <numFmt numFmtId="35" formatCode="_(* #,##0.00_);_(* \(#,##0.00\);_(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numFmt numFmtId="167" formatCode="#,##0;[Red]#,##0"/>
      <alignment horizontal="center"/>
    </ndxf>
  </rcc>
  <rcc rId="3802" sId="4" odxf="1" s="1" dxf="1">
    <oc r="N93">
      <f>SUM(N89:N91)</f>
    </oc>
    <nc r="N93">
      <f>SUM(N89:N92)</f>
    </nc>
    <o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onsolas"/>
        <family val="3"/>
        <scheme val="none"/>
      </font>
      <numFmt numFmtId="35" formatCode="_(* #,##0.00_);_(* \(#,##0.00\);_(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numFmt numFmtId="167" formatCode="#,##0;[Red]#,##0"/>
      <alignment horizontal="center"/>
    </ndxf>
  </rcc>
  <rcc rId="3803" sId="4" odxf="1" s="1" dxf="1">
    <oc r="O93">
      <f>SUM(O89:O91)</f>
    </oc>
    <nc r="O93">
      <f>SUM(O89:O92)</f>
    </nc>
    <o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onsolas"/>
        <family val="3"/>
        <scheme val="none"/>
      </font>
      <numFmt numFmtId="35" formatCode="_(* #,##0.00_);_(* \(#,##0.00\);_(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numFmt numFmtId="167" formatCode="#,##0;[Red]#,##0"/>
      <alignment horizontal="center"/>
    </ndxf>
  </rcc>
  <rcc rId="3804" sId="4" numFmtId="34">
    <nc r="P92">
      <v>2</v>
    </nc>
  </rcc>
  <rcc rId="3805" sId="4" numFmtId="34">
    <nc r="H92">
      <v>35000</v>
    </nc>
  </rcc>
  <rcc rId="3806" sId="4">
    <nc r="K92">
      <f>3324*1.06</f>
    </nc>
  </rcc>
  <rdn rId="0" localSheetId="4" customView="1" name="Z_DF69299D_7752_4436_A45D_28F739CEE21B_.wvu.Cols" hidden="1" oldHidden="1">
    <oldFormula>'COMMUNITY SERV'!$P:$P</oldFormula>
  </rdn>
  <rcv guid="{DF69299D-7752-4436-A45D-28F739CEE21B}" action="delete"/>
  <rdn rId="0" localSheetId="1" customView="1" name="Z_DF69299D_7752_4436_A45D_28F739CEE21B_.wvu.PrintArea" hidden="1" oldHidden="1">
    <formula>mayor!$A$1:$Q$42</formula>
    <oldFormula>mayor!$A$1:$Q$42</oldFormula>
  </rdn>
  <rdn rId="0" localSheetId="1" customView="1" name="Z_DF69299D_7752_4436_A45D_28F739CEE21B_.wvu.Cols" hidden="1" oldHidden="1">
    <formula>mayor!$P:$P</formula>
    <oldFormula>mayor!$P:$P</oldFormula>
  </rdn>
  <rdn rId="0" localSheetId="1" customView="1" name="Z_DF69299D_7752_4436_A45D_28F739CEE21B_.wvu.FilterData" hidden="1" oldHidden="1">
    <formula>mayor!$A$16:$C$16</formula>
    <oldFormula>mayor!$A$16:$C$16</oldFormula>
  </rdn>
  <rdn rId="0" localSheetId="2" customView="1" name="Z_DF69299D_7752_4436_A45D_28F739CEE21B_.wvu.PrintArea" hidden="1" oldHidden="1">
    <formula>income!$A$1:$Q$16</formula>
    <oldFormula>income!$A$1:$Q$16</oldFormula>
  </rdn>
  <rdn rId="0" localSheetId="2" customView="1" name="Z_DF69299D_7752_4436_A45D_28F739CEE21B_.wvu.Cols" hidden="1" oldHidden="1">
    <formula>income!$P:$P</formula>
    <oldFormula>income!$P:$P</oldFormula>
  </rdn>
  <rdn rId="0" localSheetId="3" customView="1" name="Z_DF69299D_7752_4436_A45D_28F739CEE21B_.wvu.PrintArea" hidden="1" oldHidden="1">
    <formula>workshop!$A$1:$Q$20</formula>
    <oldFormula>workshop!$A$1:$Q$20</oldFormula>
  </rdn>
  <rdn rId="0" localSheetId="3" customView="1" name="Z_DF69299D_7752_4436_A45D_28F739CEE21B_.wvu.Cols" hidden="1" oldHidden="1">
    <formula>workshop!$J:$J,workshop!$P:$P</formula>
    <oldFormula>workshop!$J:$J,workshop!$P:$P</oldFormula>
  </rdn>
  <rdn rId="0" localSheetId="4" customView="1" name="Z_DF69299D_7752_4436_A45D_28F739CEE21B_.wvu.PrintArea" hidden="1" oldHidden="1">
    <formula>'COMMUNITY SERV'!$A$1:$Q$103</formula>
    <oldFormula>'COMMUNITY SERV'!$A$1:$Q$103</oldFormula>
  </rdn>
  <rdn rId="0" localSheetId="5" customView="1" name="Z_DF69299D_7752_4436_A45D_28F739CEE21B_.wvu.PrintArea" hidden="1" oldHidden="1">
    <formula>EEM!$A$1:$Q$97</formula>
    <oldFormula>EEM!$A$1:$Q$97</oldFormula>
  </rdn>
  <rdn rId="0" localSheetId="6" customView="1" name="Z_DF69299D_7752_4436_A45D_28F739CEE21B_.wvu.PrintArea" hidden="1" oldHidden="1">
    <formula>CEM!$A$1:$Q$146</formula>
    <oldFormula>CEM!$A$1:$Q$146</oldFormula>
  </rdn>
  <rdn rId="0" localSheetId="6" customView="1" name="Z_DF69299D_7752_4436_A45D_28F739CEE21B_.wvu.Rows" hidden="1" oldHidden="1">
    <formula>CEM!$141:$141</formula>
    <oldFormula>CEM!$141:$141</oldFormula>
  </rdn>
  <rdn rId="0" localSheetId="6" customView="1" name="Z_DF69299D_7752_4436_A45D_28F739CEE21B_.wvu.Cols" hidden="1" oldHidden="1">
    <formula>CEM!$P:$P</formula>
    <oldFormula>CEM!$P:$P</oldFormula>
  </rdn>
  <rdn rId="0" localSheetId="7" customView="1" name="Z_DF69299D_7752_4436_A45D_28F739CEE21B_.wvu.PrintArea" hidden="1" oldHidden="1">
    <formula>MDC!$A$1:$Q$90</formula>
    <oldFormula>MDC!$A$1:$Q$90</oldFormula>
  </rdn>
  <rdn rId="0" localSheetId="7" customView="1" name="Z_DF69299D_7752_4436_A45D_28F739CEE21B_.wvu.Rows" hidden="1" oldHidden="1">
    <formula>MDC!$67:$73</formula>
    <oldFormula>MDC!$67:$73</oldFormula>
  </rdn>
  <rdn rId="0" localSheetId="7" customView="1" name="Z_DF69299D_7752_4436_A45D_28F739CEE21B_.wvu.Cols" hidden="1" oldHidden="1">
    <formula>MDC!$J:$J,MDC!$P:$P</formula>
    <oldFormula>MDC!$J:$J,MDC!$P:$P</oldFormula>
  </rdn>
  <rdn rId="0" localSheetId="8" customView="1" name="Z_DF69299D_7752_4436_A45D_28F739CEE21B_.wvu.PrintArea" hidden="1" oldHidden="1">
    <formula>BUDGET!$A$1:$B$76</formula>
    <oldFormula>BUDGET!$A$1:$B$76</oldFormula>
  </rdn>
  <rdn rId="0" localSheetId="8" customView="1" name="Z_DF69299D_7752_4436_A45D_28F739CEE21B_.wvu.Rows" hidden="1" oldHidden="1">
    <formula>BUDGET!$3:$7,BUDGET!$9:$9,BUDGET!$11:$11,BUDGET!$13:$16,BUDGET!$18:$21,BUDGET!$23:$23,BUDGET!$25:$28,BUDGET!$30:$36,BUDGET!$38:$38,BUDGET!$40:$40,BUDGET!$42:$47,BUDGET!$49:$49,BUDGET!$51:$54,BUDGET!$56:$59,BUDGET!$61:$66,BUDGET!$68:$68,BUDGET!$70:$70</formula>
    <oldFormula>BUDGET!$3:$7,BUDGET!$9:$9,BUDGET!$11:$11,BUDGET!$13:$16,BUDGET!$18:$21,BUDGET!$23:$23,BUDGET!$25:$28,BUDGET!$30:$36,BUDGET!$38:$38,BUDGET!$40:$40,BUDGET!$42:$47,BUDGET!$49:$49,BUDGET!$51:$54,BUDGET!$56:$59,BUDGET!$61:$66,BUDGET!$68:$68,BUDGET!$70:$70</oldFormula>
  </rdn>
  <rdn rId="0" localSheetId="8" customView="1" name="Z_DF69299D_7752_4436_A45D_28F739CEE21B_.wvu.Cols" hidden="1" oldHidden="1">
    <formula>BUDGET!$C:$S</formula>
    <oldFormula>BUDGET!$C:$S</oldFormula>
  </rdn>
  <rdn rId="0" localSheetId="10" customView="1" name="Z_DF69299D_7752_4436_A45D_28F739CEE21B_.wvu.FilterData" hidden="1" oldHidden="1">
    <formula>orig!$A$1:$AN$198</formula>
    <oldFormula>orig!$A$1:$AN$198</oldFormula>
  </rdn>
  <rdn rId="0" localSheetId="11" customView="1" name="Z_DF69299D_7752_4436_A45D_28F739CEE21B_.wvu.Cols" hidden="1" oldHidden="1">
    <formula>'1-10'!$B:$B</formula>
    <oldFormula>'1-10'!$B:$B</oldFormula>
  </rdn>
  <rdn rId="0" localSheetId="11" customView="1" name="Z_DF69299D_7752_4436_A45D_28F739CEE21B_.wvu.FilterData" hidden="1" oldHidden="1">
    <formula>'1-10'!$A$1:$AY$100</formula>
    <oldFormula>'1-10'!$A$1:$AY$100</oldFormula>
  </rdn>
  <rdn rId="0" localSheetId="12" customView="1" name="Z_DF69299D_7752_4436_A45D_28F739CEE21B_.wvu.Rows" hidden="1" oldHidden="1">
    <formula>'new veh 2012'!$96:$97</formula>
    <oldFormula>'new veh 2012'!$96:$97</oldFormula>
  </rdn>
  <rdn rId="0" localSheetId="12" customView="1" name="Z_DF69299D_7752_4436_A45D_28F739CEE21B_.wvu.FilterData" hidden="1" oldHidden="1">
    <formula>'new veh 2012'!$A$1:$J$95</formula>
    <oldFormula>'new veh 2012'!$A$1:$J$95</oldFormula>
  </rdn>
  <rdn rId="0" localSheetId="14" customView="1" name="Z_DF69299D_7752_4436_A45D_28F739CEE21B_.wvu.FilterData" hidden="1" oldHidden="1">
    <formula>stbk!$A$1:$G$199</formula>
    <oldFormula>stbk!$A$1:$G$199</oldFormula>
  </rdn>
  <rcv guid="{DF69299D-7752-4436-A45D-28F739CEE21B}" action="add"/>
</revisions>
</file>

<file path=xl/revisions/revisionLog1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32" sId="11">
    <oc r="R25" t="inlineStr">
      <is>
        <t>CMB 481 L</t>
      </is>
    </oc>
    <nc r="R25" t="inlineStr">
      <is>
        <t xml:space="preserve">    </t>
      </is>
    </nc>
  </rcc>
  <rcc rId="3833" sId="1" numFmtId="34">
    <oc r="K34">
      <v>1000</v>
    </oc>
    <nc r="K34">
      <f>1110*1.06</f>
    </nc>
  </rcc>
  <rfmt sheetId="1" sqref="K34">
    <dxf>
      <fill>
        <patternFill>
          <bgColor rgb="FF7030A0"/>
        </patternFill>
      </fill>
    </dxf>
  </rfmt>
  <rcc rId="3834" sId="1">
    <oc r="K28">
      <f>1000*(1.05+CALC!$A$2)</f>
    </oc>
    <nc r="K28">
      <f>1110*1.06</f>
    </nc>
  </rcc>
  <rfmt sheetId="1" sqref="K28">
    <dxf>
      <fill>
        <patternFill>
          <bgColor rgb="FF7030A0"/>
        </patternFill>
      </fill>
    </dxf>
  </rfmt>
</revisions>
</file>

<file path=xl/revisions/revisionLog1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5" sqref="K45">
    <dxf>
      <fill>
        <patternFill patternType="solid">
          <bgColor rgb="FF7030A0"/>
        </patternFill>
      </fill>
    </dxf>
  </rfmt>
  <rfmt sheetId="5" sqref="K43">
    <dxf>
      <fill>
        <patternFill patternType="solid">
          <bgColor rgb="FF7030A0"/>
        </patternFill>
      </fill>
    </dxf>
  </rfmt>
  <rfmt sheetId="5" sqref="K46">
    <dxf>
      <fill>
        <patternFill patternType="solid">
          <bgColor rgb="FF7030A0"/>
        </patternFill>
      </fill>
    </dxf>
  </rfmt>
  <rfmt sheetId="5" sqref="K42">
    <dxf>
      <fill>
        <patternFill patternType="solid">
          <bgColor rgb="FF7030A0"/>
        </patternFill>
      </fill>
    </dxf>
  </rfmt>
  <rfmt sheetId="5" sqref="K35">
    <dxf>
      <fill>
        <patternFill patternType="solid">
          <bgColor rgb="FF7030A0"/>
        </patternFill>
      </fill>
    </dxf>
  </rfmt>
  <rfmt sheetId="5" sqref="K33">
    <dxf>
      <fill>
        <patternFill patternType="solid">
          <bgColor rgb="FF7030A0"/>
        </patternFill>
      </fill>
    </dxf>
  </rfmt>
  <rfmt sheetId="5" sqref="K34">
    <dxf>
      <fill>
        <patternFill patternType="solid">
          <bgColor rgb="FF7030A0"/>
        </patternFill>
      </fill>
    </dxf>
  </rfmt>
</revisions>
</file>

<file path=xl/revisions/revisionLog1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35" sId="5" odxf="1" dxf="1">
    <oc r="A41" t="inlineStr">
      <is>
        <t>r</t>
      </is>
    </oc>
    <nc r="A41" t="inlineStr">
      <is>
        <t>NISSAN   NP 300 4X4 [173]</t>
      </is>
    </nc>
    <odxf>
      <fill>
        <patternFill>
          <bgColor rgb="FFFFC000"/>
        </patternFill>
      </fill>
      <alignment horizontal="left" vertical="top"/>
    </odxf>
    <ndxf>
      <fill>
        <patternFill>
          <bgColor rgb="FF92D050"/>
        </patternFill>
      </fill>
      <alignment horizontal="general" vertical="bottom"/>
    </ndxf>
  </rcc>
  <rfmt sheetId="5" sqref="K36">
    <dxf>
      <fill>
        <patternFill patternType="solid">
          <bgColor rgb="FF7030A0"/>
        </patternFill>
      </fill>
    </dxf>
  </rfmt>
  <rcc rId="3836" sId="5">
    <oc r="B41">
      <f>+'1-10'!R41</f>
    </oc>
    <nc r="B41"/>
  </rcc>
  <rfmt sheetId="5" sqref="A36:B36" start="0" length="2147483647">
    <dxf>
      <font>
        <color rgb="FF00B0F0"/>
      </font>
    </dxf>
  </rfmt>
  <rfmt sheetId="5" sqref="E37" start="0" length="2147483647">
    <dxf>
      <font>
        <color auto="1"/>
      </font>
    </dxf>
  </rfmt>
  <rfmt sheetId="5" sqref="A36:B36" start="0" length="2147483647">
    <dxf>
      <font>
        <color auto="1"/>
      </font>
    </dxf>
  </rfmt>
  <rfmt sheetId="5" sqref="A36:B36">
    <dxf>
      <fill>
        <patternFill>
          <bgColor rgb="FF0070C0"/>
        </patternFill>
      </fill>
    </dxf>
  </rfmt>
  <rfmt sheetId="4" sqref="A92:B92">
    <dxf>
      <fill>
        <patternFill>
          <bgColor rgb="FF0070C0"/>
        </patternFill>
      </fill>
    </dxf>
  </rfmt>
  <rfmt sheetId="4" sqref="A73:B73">
    <dxf>
      <fill>
        <patternFill patternType="solid">
          <bgColor rgb="FF0070C0"/>
        </patternFill>
      </fill>
    </dxf>
  </rfmt>
  <rfmt sheetId="4" sqref="A58:B58">
    <dxf>
      <fill>
        <patternFill patternType="solid">
          <bgColor rgb="FF0070C0"/>
        </patternFill>
      </fill>
    </dxf>
  </rfmt>
</revisions>
</file>

<file path=xl/revisions/revisionLog1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3837" sId="7" ref="A86:XFD91" action="insertRow">
    <undo index="65535" exp="area" ref3D="1" dr="$P$1:$P$1048576" dn="Z_6C0BD6A7_6718_429D_82D9_D2FE0341EA2C_.wvu.Cols" sId="7"/>
    <undo index="1" exp="area" ref3D="1" dr="$J$1:$J$1048576" dn="Z_6C0BD6A7_6718_429D_82D9_D2FE0341EA2C_.wvu.Cols" sId="7"/>
    <undo index="65535" exp="area" ref3D="1" dr="$P$1:$P$1048576" dn="Z_594C4AB0_8D5F_4373_9663_410F4413FE3A_.wvu.Cols" sId="7"/>
    <undo index="1" exp="area" ref3D="1" dr="$J$1:$J$1048576" dn="Z_594C4AB0_8D5F_4373_9663_410F4413FE3A_.wvu.Cols" sId="7"/>
    <undo index="65535" exp="area" ref3D="1" dr="$P$1:$P$1048576" dn="Z_DF69299D_7752_4436_A45D_28F739CEE21B_.wvu.Cols" sId="7"/>
    <undo index="1" exp="area" ref3D="1" dr="$J$1:$J$1048576" dn="Z_DF69299D_7752_4436_A45D_28F739CEE21B_.wvu.Cols" sId="7"/>
  </rrc>
  <rcc rId="3838" sId="7" odxf="1" dxf="1">
    <nc r="A87" t="inlineStr">
      <is>
        <t>TAR/CODE</t>
      </is>
    </nc>
    <odxf>
      <font>
        <u val="none"/>
        <sz val="8"/>
        <name val="Consolas"/>
        <family val="3"/>
      </font>
      <fill>
        <patternFill patternType="none">
          <bgColor indexed="65"/>
        </patternFill>
      </fill>
      <border outline="0">
        <left/>
        <top/>
        <bottom/>
      </border>
    </odxf>
    <ndxf>
      <font>
        <u/>
        <sz val="8"/>
        <name val="Consolas"/>
        <family val="3"/>
      </font>
      <fill>
        <patternFill patternType="solid">
          <bgColor theme="8" tint="0.79998168889431442"/>
        </patternFill>
      </fill>
      <border outline="0">
        <left style="medium">
          <color indexed="64"/>
        </left>
        <top style="medium">
          <color indexed="64"/>
        </top>
        <bottom style="medium">
          <color indexed="64"/>
        </bottom>
      </border>
    </ndxf>
  </rcc>
  <rfmt sheetId="7" sqref="B87" start="0" length="0">
    <dxf>
      <font>
        <u/>
        <sz val="8"/>
        <name val="Consolas"/>
        <family val="3"/>
      </font>
      <fill>
        <patternFill patternType="solid">
          <bgColor theme="8" tint="0.79998168889431442"/>
        </patternFill>
      </fill>
      <alignment horizontal="center" vertical="top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7" sqref="C87" start="0" length="0">
    <dxf>
      <font>
        <b val="0"/>
        <sz val="8"/>
        <name val="Consolas"/>
        <family val="3"/>
      </font>
    </dxf>
  </rfmt>
  <rfmt sheetId="7" sqref="D87" start="0" length="0">
    <dxf>
      <numFmt numFmtId="165" formatCode="0_);\(0\)"/>
      <fill>
        <patternFill patternType="solid">
          <bgColor theme="8" tint="0.79998168889431442"/>
        </patternFill>
      </fill>
      <border outline="0">
        <left style="medium">
          <color indexed="64"/>
        </left>
        <top style="medium">
          <color indexed="64"/>
        </top>
        <bottom style="medium">
          <color indexed="64"/>
        </bottom>
      </border>
    </dxf>
  </rfmt>
  <rfmt sheetId="7" s="1" sqref="E87" start="0" length="0">
    <dxf>
      <numFmt numFmtId="165" formatCode="0_);\(0\)"/>
      <fill>
        <patternFill patternType="solid">
          <bgColor theme="8" tint="0.79998168889431442"/>
        </patternFill>
      </fill>
      <alignment horizontal="center"/>
      <border outline="0">
        <top style="medium">
          <color indexed="64"/>
        </top>
        <bottom style="medium">
          <color indexed="64"/>
        </bottom>
      </border>
    </dxf>
  </rfmt>
  <rfmt sheetId="7" s="1" sqref="F87" start="0" length="0">
    <dxf>
      <numFmt numFmtId="165" formatCode="0_);\(0\)"/>
      <fill>
        <patternFill patternType="solid">
          <bgColor theme="8" tint="0.79998168889431442"/>
        </patternFill>
      </fill>
      <alignment horizontal="center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cc rId="3839" sId="7">
    <nc r="B87" t="inlineStr">
      <is>
        <t>V0200</t>
      </is>
    </nc>
  </rcc>
  <rcc rId="3840" sId="7">
    <nc r="D87" t="inlineStr">
      <is>
        <t>Generators</t>
      </is>
    </nc>
  </rcc>
  <rcc rId="3841" sId="7">
    <nc r="A88" t="inlineStr">
      <is>
        <t>Goerges Val Purification work</t>
      </is>
    </nc>
  </rcc>
  <rcc rId="3842" sId="7">
    <nc r="A89" t="inlineStr">
      <is>
        <t xml:space="preserve">Tzaneen Purification </t>
      </is>
    </nc>
  </rcc>
  <rcc rId="3843" sId="7">
    <nc r="A90" t="inlineStr">
      <is>
        <t>Saagmeul</t>
      </is>
    </nc>
  </rcc>
  <rcc rId="3844" sId="7">
    <nc r="A91" t="inlineStr">
      <is>
        <t>Letstele</t>
      </is>
    </nc>
  </rcc>
  <rcc rId="3845" sId="7">
    <nc r="A92" t="inlineStr">
      <is>
        <t>TZN sewerplant</t>
      </is>
    </nc>
  </rcc>
  <rrc rId="3846" sId="7" ref="A93:XFD95" action="insertRow">
    <undo index="65535" exp="area" ref3D="1" dr="$P$1:$P$1048576" dn="Z_6C0BD6A7_6718_429D_82D9_D2FE0341EA2C_.wvu.Cols" sId="7"/>
    <undo index="1" exp="area" ref3D="1" dr="$J$1:$J$1048576" dn="Z_6C0BD6A7_6718_429D_82D9_D2FE0341EA2C_.wvu.Cols" sId="7"/>
    <undo index="65535" exp="area" ref3D="1" dr="$P$1:$P$1048576" dn="Z_594C4AB0_8D5F_4373_9663_410F4413FE3A_.wvu.Cols" sId="7"/>
    <undo index="1" exp="area" ref3D="1" dr="$J$1:$J$1048576" dn="Z_594C4AB0_8D5F_4373_9663_410F4413FE3A_.wvu.Cols" sId="7"/>
    <undo index="65535" exp="area" ref3D="1" dr="$P$1:$P$1048576" dn="Z_DF69299D_7752_4436_A45D_28F739CEE21B_.wvu.Cols" sId="7"/>
    <undo index="1" exp="area" ref3D="1" dr="$J$1:$J$1048576" dn="Z_DF69299D_7752_4436_A45D_28F739CEE21B_.wvu.Cols" sId="7"/>
  </rrc>
  <rcc rId="3847" sId="7">
    <oc r="L13" t="inlineStr">
      <is>
        <t>Roads</t>
      </is>
    </oc>
    <nc r="L13"/>
  </rcc>
  <rcc rId="3848" sId="7" odxf="1" dxf="1">
    <nc r="B93" t="inlineStr">
      <is>
        <t>TOTAL</t>
      </is>
    </nc>
    <odxf>
      <font>
        <b val="0"/>
        <sz val="8"/>
        <name val="Consolas"/>
        <family val="3"/>
      </font>
      <border outline="0">
        <left/>
        <right/>
        <top/>
        <bottom/>
      </border>
    </odxf>
    <ndxf>
      <font>
        <b/>
        <sz val="8"/>
        <name val="Consolas"/>
        <family val="3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7" sqref="C93" start="0" length="0">
    <dxf>
      <font>
        <b/>
        <sz val="8"/>
        <name val="Consolas"/>
        <family val="3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7" sqref="D93" start="0" length="0">
    <dxf>
      <font>
        <b/>
        <sz val="8"/>
        <name val="Consolas"/>
        <family val="3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849" sId="7" odxf="1" s="1" dxf="1">
    <nc r="E93">
      <f>SUM(E91:E92)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onsolas"/>
        <family val="3"/>
        <scheme val="none"/>
      </font>
      <numFmt numFmtId="0" formatCode="General"/>
    </odxf>
    <ndxf>
      <font>
        <b/>
        <sz val="8"/>
        <color auto="1"/>
        <name val="Consolas"/>
        <family val="3"/>
        <scheme val="none"/>
      </font>
      <numFmt numFmtId="35" formatCode="_(* #,##0.00_);_(* \(#,##0.00\);_(* &quot;-&quot;??_);_(@_)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50" sId="7" odxf="1" s="1" dxf="1">
    <nc r="F93">
      <f>SUM(F91:F92)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onsolas"/>
        <family val="3"/>
        <scheme val="none"/>
      </font>
      <numFmt numFmtId="0" formatCode="General"/>
    </odxf>
    <ndxf>
      <font>
        <b/>
        <sz val="8"/>
        <color auto="1"/>
        <name val="Consolas"/>
        <family val="3"/>
        <scheme val="none"/>
      </font>
      <numFmt numFmtId="35" formatCode="_(* #,##0.00_);_(* \(#,##0.00\);_(* &quot;-&quot;??_);_(@_)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7" s="1" sqref="G93" start="0" length="0">
    <dxf>
      <font>
        <b/>
        <sz val="8"/>
        <color auto="1"/>
        <name val="Consolas"/>
        <family val="3"/>
        <scheme val="none"/>
      </font>
      <numFmt numFmtId="35" formatCode="_(* #,##0.00_);_(* \(#,##0.00\);_(* &quot;-&quot;??_);_(@_)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7" s="1" sqref="H93" start="0" length="0">
    <dxf>
      <font>
        <b/>
        <sz val="8"/>
        <color auto="1"/>
        <name val="Consolas"/>
        <family val="3"/>
        <scheme val="none"/>
      </font>
      <numFmt numFmtId="35" formatCode="_(* #,##0.00_);_(* \(#,##0.00\);_(* &quot;-&quot;??_);_(@_)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7" s="1" sqref="I93" start="0" length="0">
    <dxf>
      <font>
        <b/>
        <sz val="8"/>
        <color auto="1"/>
        <name val="Consolas"/>
        <family val="3"/>
        <scheme val="none"/>
      </font>
      <numFmt numFmtId="35" formatCode="_(* #,##0.00_);_(* \(#,##0.00\);_(* &quot;-&quot;??_);_(@_)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7" s="1" sqref="J93" start="0" length="0">
    <dxf>
      <font>
        <b/>
        <sz val="8"/>
        <color auto="1"/>
        <name val="Consolas"/>
        <family val="3"/>
        <scheme val="none"/>
      </font>
      <numFmt numFmtId="35" formatCode="_(* #,##0.00_);_(* \(#,##0.00\);_(* &quot;-&quot;??_);_(@_)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7" s="1" sqref="K93" start="0" length="0">
    <dxf>
      <font>
        <b/>
        <sz val="8"/>
        <color auto="1"/>
        <name val="Consolas"/>
        <family val="3"/>
        <scheme val="none"/>
      </font>
      <numFmt numFmtId="35" formatCode="_(* #,##0.00_);_(* \(#,##0.00\);_(* &quot;-&quot;??_);_(@_)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7" s="1" sqref="L93" start="0" length="0">
    <dxf>
      <font>
        <b/>
        <sz val="8"/>
        <color auto="1"/>
        <name val="Consolas"/>
        <family val="3"/>
        <scheme val="none"/>
      </font>
      <numFmt numFmtId="35" formatCode="_(* #,##0.00_);_(* \(#,##0.00\);_(* &quot;-&quot;??_);_(@_)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7" s="1" sqref="M93" start="0" length="0">
    <dxf>
      <font>
        <b/>
        <sz val="8"/>
        <color auto="1"/>
        <name val="Consolas"/>
        <family val="3"/>
        <scheme val="none"/>
      </font>
      <numFmt numFmtId="35" formatCode="_(* #,##0.00_);_(* \(#,##0.00\);_(* &quot;-&quot;??_);_(@_)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7" s="1" sqref="N93" start="0" length="0">
    <dxf>
      <font>
        <b/>
        <sz val="8"/>
        <color auto="1"/>
        <name val="Consolas"/>
        <family val="3"/>
        <scheme val="none"/>
      </font>
      <numFmt numFmtId="35" formatCode="_(* #,##0.00_);_(* \(#,##0.00\);_(* &quot;-&quot;??_);_(@_)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7" s="1" sqref="O93" start="0" length="0">
    <dxf>
      <font>
        <b/>
        <sz val="8"/>
        <color auto="1"/>
        <name val="Consolas"/>
        <family val="3"/>
        <scheme val="none"/>
      </font>
      <numFmt numFmtId="35" formatCode="_(* #,##0.00_);_(* \(#,##0.00\);_(* &quot;-&quot;??_);_(@_)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7" sqref="P93" start="0" length="0">
    <dxf>
      <font>
        <b/>
        <sz val="8"/>
        <name val="Consolas"/>
        <family val="3"/>
      </font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</rfmt>
  <rcc rId="3851" sId="7" odxf="1" dxf="1">
    <nc r="Q93">
      <f>(+O93/D93)*(1+CALC!$A$3)</f>
    </nc>
    <odxf>
      <font>
        <b val="0"/>
        <sz val="8"/>
        <name val="Consolas"/>
        <family val="3"/>
      </font>
      <fill>
        <patternFill patternType="none">
          <bgColor indexed="65"/>
        </patternFill>
      </fill>
    </odxf>
    <ndxf>
      <font>
        <b/>
        <sz val="8"/>
        <name val="Consolas"/>
        <family val="3"/>
      </font>
      <fill>
        <patternFill patternType="solid">
          <bgColor theme="6" tint="0.79998168889431442"/>
        </patternFill>
      </fill>
    </ndxf>
  </rcc>
  <rcc rId="3852" sId="7">
    <nc r="G93">
      <f>SUM(G86:G92)</f>
    </nc>
  </rcc>
  <rcc rId="3853" sId="7">
    <nc r="H93">
      <f>SUM(H86:H92)</f>
    </nc>
  </rcc>
  <rcc rId="3854" sId="7">
    <nc r="I93">
      <f>SUM(I86:I92)</f>
    </nc>
  </rcc>
  <rcc rId="3855" sId="7">
    <nc r="J93">
      <f>SUM(J86:J92)</f>
    </nc>
  </rcc>
  <rcc rId="3856" sId="7">
    <nc r="K93">
      <f>SUM(K86:K92)</f>
    </nc>
  </rcc>
  <rcc rId="3857" sId="7">
    <nc r="L93">
      <f>SUM(L86:L92)</f>
    </nc>
  </rcc>
  <rcc rId="3858" sId="7">
    <nc r="M93">
      <f>SUM(M86:M92)</f>
    </nc>
  </rcc>
  <rcc rId="3859" sId="7">
    <nc r="N93">
      <f>SUM(N86:N92)</f>
    </nc>
  </rcc>
  <rcc rId="3860" sId="7">
    <nc r="O93">
      <f>SUM(O86:O92)</f>
    </nc>
  </rcc>
  <rcc rId="3861" sId="7" odxf="1" dxf="1">
    <nc r="P93">
      <f>SUM(P86:P92)</f>
    </nc>
    <ndxf>
      <border outline="0">
        <right style="thin">
          <color indexed="64"/>
        </right>
      </border>
    </ndxf>
  </rcc>
  <rcc rId="3862" sId="7" odxf="1" dxf="1">
    <nc r="G88">
      <f>CALC!$A$22*(I88/CEM!I$146)</f>
    </nc>
    <odxf>
      <font>
        <b/>
        <sz val="8"/>
        <name val="Consolas"/>
        <family val="3"/>
      </font>
      <border outline="0">
        <left/>
        <right/>
        <top/>
        <bottom/>
      </border>
    </odxf>
    <ndxf>
      <font>
        <b val="0"/>
        <sz val="8"/>
        <name val="Consolas"/>
        <family val="3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63" sId="7" odxf="1" dxf="1">
    <nc r="G89">
      <f>CALC!$A$22*(I89/CEM!I$146)</f>
    </nc>
    <odxf>
      <font>
        <b/>
        <sz val="8"/>
        <name val="Consolas"/>
        <family val="3"/>
      </font>
      <border outline="0">
        <left/>
        <right/>
        <top/>
        <bottom/>
      </border>
    </odxf>
    <ndxf>
      <font>
        <b val="0"/>
        <sz val="8"/>
        <name val="Consolas"/>
        <family val="3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64" sId="7" odxf="1" dxf="1">
    <nc r="G90">
      <f>CALC!$A$22*(I90/CEM!I$146)</f>
    </nc>
    <odxf>
      <font>
        <b/>
        <sz val="8"/>
        <name val="Consolas"/>
        <family val="3"/>
      </font>
      <border outline="0">
        <left/>
        <right/>
        <top/>
        <bottom/>
      </border>
    </odxf>
    <ndxf>
      <font>
        <b val="0"/>
        <sz val="8"/>
        <name val="Consolas"/>
        <family val="3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65" sId="7" odxf="1" dxf="1">
    <nc r="G91">
      <f>CALC!$A$22*(I91/CEM!I$146)</f>
    </nc>
    <odxf>
      <font>
        <b/>
        <sz val="8"/>
        <name val="Consolas"/>
        <family val="3"/>
      </font>
      <border outline="0">
        <left/>
        <right/>
        <top/>
        <bottom/>
      </border>
    </odxf>
    <ndxf>
      <font>
        <b val="0"/>
        <sz val="8"/>
        <name val="Consolas"/>
        <family val="3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66" sId="7" odxf="1" s="1" dxf="1">
    <nc r="G92">
      <f>CALC!$A$22*(I92/CEM!I$146)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onsolas"/>
        <family val="3"/>
        <scheme val="none"/>
      </font>
      <numFmt numFmtId="0" formatCode="General"/>
    </odxf>
    <ndxf>
      <numFmt numFmtId="35" formatCode="_(* #,##0.00_);_(* \(#,##0.00\);_(* &quot;-&quot;??_);_(@_)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7" sqref="E88" start="0" length="0">
    <dxf>
      <font>
        <b val="0"/>
        <sz val="8"/>
        <name val="Consolas"/>
        <family val="3"/>
      </font>
      <fill>
        <patternFill patternType="solid">
          <bgColor rgb="FF00B0F0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7" sqref="E89" start="0" length="0">
    <dxf>
      <font>
        <b val="0"/>
        <sz val="8"/>
        <name val="Consolas"/>
        <family val="3"/>
      </font>
      <fill>
        <patternFill patternType="solid">
          <bgColor rgb="FF00B0F0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7" sqref="E90" start="0" length="0">
    <dxf>
      <font>
        <b val="0"/>
        <sz val="8"/>
        <name val="Consolas"/>
        <family val="3"/>
      </font>
      <fill>
        <patternFill patternType="solid">
          <bgColor rgb="FF00B0F0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7" sqref="E91" start="0" length="0">
    <dxf>
      <font>
        <b val="0"/>
        <sz val="8"/>
        <name val="Consolas"/>
        <family val="3"/>
      </font>
      <fill>
        <patternFill patternType="solid">
          <bgColor rgb="FF00B0F0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7" s="1" sqref="E92" start="0" length="0">
    <dxf>
      <numFmt numFmtId="35" formatCode="_(* #,##0.00_);_(* \(#,##0.00\);_(* &quot;-&quot;??_);_(@_)"/>
      <fill>
        <patternFill patternType="solid">
          <bgColor rgb="FF00B0F0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7" sqref="D92" start="0" length="0">
    <dxf>
      <font>
        <b/>
        <sz val="8"/>
        <name val="Consolas"/>
        <family val="3"/>
      </font>
    </dxf>
  </rfmt>
  <rcc rId="3867" sId="7">
    <nc r="D93">
      <f>SUM(D88:D92)</f>
    </nc>
  </rcc>
  <rcc rId="3868" sId="7">
    <nc r="E88">
      <f>+D88*P88*(CALC!$A$4)</f>
    </nc>
  </rcc>
  <rcc rId="3869" sId="7">
    <nc r="E89">
      <f>+D89*P89*(CALC!$A$4)</f>
    </nc>
  </rcc>
  <rcc rId="3870" sId="7">
    <nc r="E90">
      <f>+D90*P90*(CALC!$A$4)</f>
    </nc>
  </rcc>
  <rcc rId="3871" sId="7">
    <nc r="E91">
      <f>+D91*P91*(CALC!$A$4)</f>
    </nc>
  </rcc>
  <rcc rId="3872" sId="7">
    <nc r="E92">
      <f>+D92*P92*(CALC!$A$4)</f>
    </nc>
  </rcc>
  <rcc rId="3873" sId="7" numFmtId="34">
    <nc r="P88">
      <v>80</v>
    </nc>
  </rcc>
  <rcc rId="3874" sId="7" numFmtId="34">
    <nc r="P89">
      <v>80</v>
    </nc>
  </rcc>
  <rcc rId="3875" sId="7" numFmtId="34">
    <nc r="P90">
      <v>80</v>
    </nc>
  </rcc>
  <rcc rId="3876" sId="7" numFmtId="34">
    <nc r="P91">
      <v>80</v>
    </nc>
  </rcc>
  <rcc rId="3877" sId="7" odxf="1" dxf="1" numFmtId="34">
    <nc r="P92">
      <v>80</v>
    </nc>
    <odxf>
      <font>
        <b val="0"/>
        <sz val="8"/>
        <name val="Consolas"/>
        <family val="3"/>
      </font>
    </odxf>
    <ndxf>
      <font>
        <b/>
        <sz val="8"/>
        <name val="Consolas"/>
        <family val="3"/>
      </font>
    </ndxf>
  </rcc>
  <rcc rId="3878" sId="7" numFmtId="4">
    <nc r="D88">
      <v>2400</v>
    </nc>
  </rcc>
  <rcc rId="3879" sId="7" numFmtId="4">
    <nc r="D89">
      <v>2400</v>
    </nc>
  </rcc>
  <rcc rId="3880" sId="7" numFmtId="4">
    <nc r="D90">
      <v>2400</v>
    </nc>
  </rcc>
  <rcc rId="3881" sId="7" numFmtId="4">
    <nc r="D91">
      <v>2400</v>
    </nc>
  </rcc>
  <rcc rId="3882" sId="7" numFmtId="4">
    <nc r="D92">
      <v>2400</v>
    </nc>
  </rcc>
  <rcc rId="3883" sId="7" numFmtId="34">
    <nc r="H88">
      <v>30000</v>
    </nc>
  </rcc>
  <rcc rId="3884" sId="7" numFmtId="34">
    <nc r="H89">
      <v>30000</v>
    </nc>
  </rcc>
  <rcc rId="3885" sId="7" numFmtId="34">
    <nc r="H90">
      <v>30000</v>
    </nc>
  </rcc>
  <rcc rId="3886" sId="7" numFmtId="34">
    <nc r="H91">
      <v>30000</v>
    </nc>
  </rcc>
  <rcc rId="3887" sId="7" odxf="1" s="1" dxf="1" numFmtId="34">
    <nc r="H92">
      <v>30000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onsolas"/>
        <family val="3"/>
        <scheme val="none"/>
      </font>
      <numFmt numFmtId="0" formatCode="General"/>
    </odxf>
    <ndxf>
      <font>
        <b/>
        <sz val="8"/>
        <color auto="1"/>
        <name val="Consolas"/>
        <family val="3"/>
        <scheme val="none"/>
      </font>
      <numFmt numFmtId="35" formatCode="_(* #,##0.00_);_(* \(#,##0.00\);_(* &quot;-&quot;??_);_(@_)"/>
    </ndxf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4" sqref="A27:C27">
    <dxf>
      <fill>
        <patternFill patternType="solid">
          <bgColor rgb="FFFFFF00"/>
        </patternFill>
      </fill>
    </dxf>
  </rfmt>
</revisions>
</file>

<file path=xl/revisions/revisionLog1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88" sId="7">
    <oc r="D97">
      <f>+D7+D8+D11+D14+D15+D16+D25+D30+D35+D45+D52+D64+D85</f>
    </oc>
    <nc r="D97">
      <f>+D7+D8+D11+D14+D15+D16+D25+D30+D35+D45+D52+D64+D85+D93</f>
    </nc>
  </rcc>
  <rcc rId="3889" sId="7" odxf="1" s="1" dxf="1">
    <oc r="E97">
      <f>+E7+E8+E11+E14+E15+E16+E25+E30+E35+E45+E52+E64+E85</f>
    </oc>
    <nc r="E97">
      <f>+E7+E8+E11+E14+E15+E16+E25+E30+E35+E45+E52+E64+E85+E93</f>
    </nc>
    <o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onsolas"/>
        <family val="3"/>
        <scheme val="none"/>
      </font>
      <numFmt numFmtId="35" formatCode="_(* #,##0.00_);_(* \(#,##0.00\);_(* &quot;-&quot;??_);_(@_)"/>
      <fill>
        <patternFill patternType="solid">
          <fgColor indexed="64"/>
          <bgColor theme="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odxf>
    <ndxf>
      <numFmt numFmtId="167" formatCode="#,##0;[Red]#,##0"/>
    </ndxf>
  </rcc>
  <rcc rId="3890" sId="7" odxf="1" s="1" dxf="1">
    <oc r="F97">
      <f>+F7+F8+F11+F14+F15+F16+F25+F30+F35+F45+F52+F64+F85</f>
    </oc>
    <nc r="F97">
      <f>+F7+F8+F11+F14+F15+F16+F25+F30+F35+F45+F52+F64+F85+F93</f>
    </nc>
    <o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onsolas"/>
        <family val="3"/>
        <scheme val="none"/>
      </font>
      <numFmt numFmtId="35" formatCode="_(* #,##0.00_);_(* \(#,##0.00\);_(* &quot;-&quot;??_);_(@_)"/>
      <fill>
        <patternFill patternType="solid">
          <fgColor indexed="64"/>
          <bgColor theme="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odxf>
    <ndxf>
      <numFmt numFmtId="167" formatCode="#,##0;[Red]#,##0"/>
    </ndxf>
  </rcc>
  <rcc rId="3891" sId="7" odxf="1" s="1" dxf="1">
    <oc r="G97">
      <f>+G7+G8+G11+G14+G15+G16+G25+G30+G35+G45+G52+G64+G85</f>
    </oc>
    <nc r="G97">
      <f>+G7+G8+G11+G14+G15+G16+G25+G30+G35+G45+G52+G64+G85+G93</f>
    </nc>
    <o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onsolas"/>
        <family val="3"/>
        <scheme val="none"/>
      </font>
      <numFmt numFmtId="35" formatCode="_(* #,##0.00_);_(* \(#,##0.00\);_(* &quot;-&quot;??_);_(@_)"/>
      <fill>
        <patternFill patternType="solid">
          <fgColor indexed="64"/>
          <bgColor theme="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odxf>
    <ndxf>
      <numFmt numFmtId="167" formatCode="#,##0;[Red]#,##0"/>
    </ndxf>
  </rcc>
  <rcc rId="3892" sId="7" odxf="1" s="1" dxf="1">
    <oc r="H97">
      <f>+H7+H8+H11+H14+H15+H16+H25+H30+H35+H45+H52+H64+H85</f>
    </oc>
    <nc r="H97">
      <f>+H7+H8+H11+H14+H15+H16+H25+H30+H35+H45+H52+H64+H85+H93</f>
    </nc>
    <o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onsolas"/>
        <family val="3"/>
        <scheme val="none"/>
      </font>
      <numFmt numFmtId="35" formatCode="_(* #,##0.00_);_(* \(#,##0.00\);_(* &quot;-&quot;??_);_(@_)"/>
      <fill>
        <patternFill patternType="solid">
          <fgColor indexed="64"/>
          <bgColor theme="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odxf>
    <ndxf>
      <numFmt numFmtId="167" formatCode="#,##0;[Red]#,##0"/>
    </ndxf>
  </rcc>
  <rcc rId="3893" sId="7" odxf="1" s="1" dxf="1">
    <oc r="I97">
      <f>+I7+I8+I11+I14+I15+I16+I25+I30+I35+I45+I52+I64+I85</f>
    </oc>
    <nc r="I97">
      <f>+I7+I8+I11+I14+I15+I16+I25+I30+I35+I45+I52+I64+I85+I93</f>
    </nc>
    <o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onsolas"/>
        <family val="3"/>
        <scheme val="none"/>
      </font>
      <numFmt numFmtId="35" formatCode="_(* #,##0.00_);_(* \(#,##0.00\);_(* &quot;-&quot;??_);_(@_)"/>
      <fill>
        <patternFill patternType="solid">
          <fgColor indexed="64"/>
          <bgColor theme="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odxf>
    <ndxf>
      <numFmt numFmtId="167" formatCode="#,##0;[Red]#,##0"/>
    </ndxf>
  </rcc>
  <rcc rId="3894" sId="7" odxf="1" s="1" dxf="1">
    <oc r="J97">
      <f>+J7+J8+J11+J14+J15+J16+J25+J30+J35+J45+J52+J64+J85</f>
    </oc>
    <nc r="J97">
      <f>+J7+J8+J11+J14+J15+J16+J25+J30+J35+J45+J52+J64+J85+J93</f>
    </nc>
    <o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onsolas"/>
        <family val="3"/>
        <scheme val="none"/>
      </font>
      <numFmt numFmtId="35" formatCode="_(* #,##0.00_);_(* \(#,##0.00\);_(* &quot;-&quot;??_);_(@_)"/>
      <fill>
        <patternFill patternType="solid">
          <fgColor indexed="64"/>
          <bgColor theme="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odxf>
    <ndxf>
      <numFmt numFmtId="167" formatCode="#,##0;[Red]#,##0"/>
    </ndxf>
  </rcc>
  <rcc rId="3895" sId="7" odxf="1" s="1" dxf="1">
    <oc r="K97">
      <f>+K7+K8+K11+K14+K15+K16+K25+K30+K35+K45+K52+K64+K85</f>
    </oc>
    <nc r="K97">
      <f>+K7+K8+K11+K14+K15+K16+K25+K30+K35+K45+K52+K64+K85+K93</f>
    </nc>
    <o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onsolas"/>
        <family val="3"/>
        <scheme val="none"/>
      </font>
      <numFmt numFmtId="35" formatCode="_(* #,##0.00_);_(* \(#,##0.00\);_(* &quot;-&quot;??_);_(@_)"/>
      <fill>
        <patternFill patternType="solid">
          <fgColor indexed="64"/>
          <bgColor theme="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odxf>
    <ndxf>
      <numFmt numFmtId="167" formatCode="#,##0;[Red]#,##0"/>
    </ndxf>
  </rcc>
  <rcc rId="3896" sId="7" odxf="1" s="1" dxf="1">
    <oc r="L97">
      <f>+L7+L8+L11+L14+L15+L16+L25+L30+L35+L45+L52+L64+L85</f>
    </oc>
    <nc r="L97">
      <f>+L7+L8+L11+L14+L15+L16+L25+L30+L35+L45+L52+L64+L85+L93</f>
    </nc>
    <o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onsolas"/>
        <family val="3"/>
        <scheme val="none"/>
      </font>
      <numFmt numFmtId="35" formatCode="_(* #,##0.00_);_(* \(#,##0.00\);_(* &quot;-&quot;??_);_(@_)"/>
      <fill>
        <patternFill patternType="solid">
          <fgColor indexed="64"/>
          <bgColor theme="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odxf>
    <ndxf>
      <numFmt numFmtId="167" formatCode="#,##0;[Red]#,##0"/>
    </ndxf>
  </rcc>
  <rcc rId="3897" sId="7" odxf="1" s="1" dxf="1">
    <oc r="M97">
      <f>+M7+M8+M11+M14+M15+M16+M25+M30+M35+M45+M52+M64+M85</f>
    </oc>
    <nc r="M97">
      <f>+M7+M8+M11+M14+M15+M16+M25+M30+M35+M45+M52+M64+M85+M93</f>
    </nc>
    <o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onsolas"/>
        <family val="3"/>
        <scheme val="none"/>
      </font>
      <numFmt numFmtId="35" formatCode="_(* #,##0.00_);_(* \(#,##0.00\);_(* &quot;-&quot;??_);_(@_)"/>
      <fill>
        <patternFill patternType="solid">
          <fgColor indexed="64"/>
          <bgColor theme="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odxf>
    <ndxf>
      <numFmt numFmtId="167" formatCode="#,##0;[Red]#,##0"/>
    </ndxf>
  </rcc>
  <rcc rId="3898" sId="7" odxf="1" s="1" dxf="1">
    <oc r="N97">
      <f>+N7+N8+N11+N14+N15+N16+N25+N30+N35+N45+N52+N64+N85</f>
    </oc>
    <nc r="N97">
      <f>+N7+N8+N11+N14+N15+N16+N25+N30+N35+N45+N52+N64+N85+N93</f>
    </nc>
    <o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onsolas"/>
        <family val="3"/>
        <scheme val="none"/>
      </font>
      <numFmt numFmtId="35" formatCode="_(* #,##0.00_);_(* \(#,##0.00\);_(* &quot;-&quot;??_);_(@_)"/>
      <fill>
        <patternFill patternType="solid">
          <fgColor indexed="64"/>
          <bgColor theme="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odxf>
    <ndxf>
      <numFmt numFmtId="167" formatCode="#,##0;[Red]#,##0"/>
    </ndxf>
  </rcc>
  <rcc rId="3899" sId="7" odxf="1" s="1" dxf="1">
    <oc r="O97">
      <f>+O7+O8+O11+O14+O15+O16+O25+O30+O35+O45+O52+O64+O85</f>
    </oc>
    <nc r="O97">
      <f>+O7+O8+O11+O14+O15+O16+O25+O30+O35+O45+O52+O64+O85+O93</f>
    </nc>
    <o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onsolas"/>
        <family val="3"/>
        <scheme val="none"/>
      </font>
      <numFmt numFmtId="35" formatCode="_(* #,##0.00_);_(* \(#,##0.00\);_(* &quot;-&quot;??_);_(@_)"/>
      <fill>
        <patternFill patternType="solid">
          <fgColor indexed="64"/>
          <bgColor theme="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odxf>
    <ndxf>
      <numFmt numFmtId="167" formatCode="#,##0;[Red]#,##0"/>
    </ndxf>
  </rcc>
</revisions>
</file>

<file path=xl/revisions/revisionLog1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00" sId="7" odxf="1" dxf="1">
    <nc r="M88">
      <f>SUM(E88:L88)</f>
    </nc>
    <odxf>
      <font>
        <b/>
        <sz val="8"/>
        <name val="Consolas"/>
        <family val="3"/>
      </font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b val="0"/>
        <sz val="8"/>
        <name val="Consolas"/>
        <family val="3"/>
      </font>
      <fill>
        <patternFill patternType="solid">
          <bgColor theme="6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01" sId="7" odxf="1" dxf="1">
    <nc r="M89">
      <f>SUM(E89:L89)</f>
    </nc>
    <odxf>
      <font>
        <b/>
        <sz val="8"/>
        <name val="Consolas"/>
        <family val="3"/>
      </font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b val="0"/>
        <sz val="8"/>
        <name val="Consolas"/>
        <family val="3"/>
      </font>
      <fill>
        <patternFill patternType="solid">
          <bgColor theme="6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02" sId="7" odxf="1" dxf="1">
    <nc r="M90">
      <f>SUM(E90:L90)</f>
    </nc>
    <odxf>
      <font>
        <b/>
        <sz val="8"/>
        <name val="Consolas"/>
        <family val="3"/>
      </font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b val="0"/>
        <sz val="8"/>
        <name val="Consolas"/>
        <family val="3"/>
      </font>
      <fill>
        <patternFill patternType="solid">
          <bgColor theme="6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03" sId="7" odxf="1" dxf="1">
    <nc r="M91">
      <f>SUM(E91:L91)</f>
    </nc>
    <odxf>
      <font>
        <b/>
        <sz val="8"/>
        <name val="Consolas"/>
        <family val="3"/>
      </font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b val="0"/>
        <sz val="8"/>
        <name val="Consolas"/>
        <family val="3"/>
      </font>
      <fill>
        <patternFill patternType="solid">
          <bgColor theme="6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04" sId="7" odxf="1" s="1" dxf="1">
    <nc r="M92">
      <f>SUM(E92:L92)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onsolas"/>
        <family val="3"/>
        <scheme val="none"/>
      </font>
      <numFmt numFmtId="0" formatCode="General"/>
    </odxf>
    <ndxf>
      <numFmt numFmtId="35" formatCode="_(* #,##0.00_);_(* \(#,##0.00\);_(* &quot;-&quot;??_);_(@_)"/>
      <fill>
        <patternFill patternType="solid">
          <bgColor theme="6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05" sId="7" odxf="1" dxf="1">
    <nc r="O88">
      <f>+M88+N88</f>
    </nc>
    <odxf>
      <font>
        <b/>
        <sz val="8"/>
        <name val="Consolas"/>
        <family val="3"/>
      </font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b val="0"/>
        <sz val="8"/>
        <name val="Consolas"/>
        <family val="3"/>
      </font>
      <fill>
        <patternFill patternType="solid">
          <bgColor theme="6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06" sId="7" odxf="1" dxf="1">
    <nc r="O89">
      <f>+M89+N89</f>
    </nc>
    <odxf>
      <font>
        <b/>
        <sz val="8"/>
        <name val="Consolas"/>
        <family val="3"/>
      </font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b val="0"/>
        <sz val="8"/>
        <name val="Consolas"/>
        <family val="3"/>
      </font>
      <fill>
        <patternFill patternType="solid">
          <bgColor theme="6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07" sId="7" odxf="1" dxf="1">
    <nc r="O90">
      <f>+M90+N90</f>
    </nc>
    <odxf>
      <font>
        <b/>
        <sz val="8"/>
        <name val="Consolas"/>
        <family val="3"/>
      </font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b val="0"/>
        <sz val="8"/>
        <name val="Consolas"/>
        <family val="3"/>
      </font>
      <fill>
        <patternFill patternType="solid">
          <bgColor theme="6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08" sId="7" odxf="1" dxf="1">
    <nc r="O91">
      <f>+M91+N91</f>
    </nc>
    <odxf>
      <font>
        <b/>
        <sz val="8"/>
        <name val="Consolas"/>
        <family val="3"/>
      </font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b val="0"/>
        <sz val="8"/>
        <name val="Consolas"/>
        <family val="3"/>
      </font>
      <fill>
        <patternFill patternType="solid">
          <bgColor theme="6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09" sId="7" odxf="1" s="1" dxf="1">
    <nc r="O92">
      <f>+M92+N92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onsolas"/>
        <family val="3"/>
        <scheme val="none"/>
      </font>
      <numFmt numFmtId="0" formatCode="General"/>
    </odxf>
    <ndxf>
      <numFmt numFmtId="35" formatCode="_(* #,##0.00_);_(* \(#,##0.00\);_(* &quot;-&quot;??_);_(@_)"/>
      <fill>
        <patternFill patternType="solid">
          <bgColor theme="6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10" sId="7">
    <oc r="E93">
      <f>SUM(E91:E92)</f>
    </oc>
    <nc r="E93">
      <f>SUM(E87:E92)</f>
    </nc>
  </rcc>
  <rcc rId="3911" sId="7" numFmtId="4">
    <oc r="D88">
      <v>2400</v>
    </oc>
    <nc r="D88">
      <v>2000</v>
    </nc>
  </rcc>
  <rcc rId="3912" sId="7" numFmtId="4">
    <oc r="D89">
      <v>2400</v>
    </oc>
    <nc r="D89">
      <v>2000</v>
    </nc>
  </rcc>
  <rcc rId="3913" sId="7" numFmtId="4">
    <oc r="D90">
      <v>2400</v>
    </oc>
    <nc r="D90">
      <v>2000</v>
    </nc>
  </rcc>
  <rcc rId="3914" sId="7" numFmtId="4">
    <oc r="D91">
      <v>2400</v>
    </oc>
    <nc r="D91">
      <v>2000</v>
    </nc>
  </rcc>
  <rcc rId="3915" sId="7" numFmtId="4">
    <oc r="D92">
      <v>2400</v>
    </oc>
    <nc r="D92">
      <v>2000</v>
    </nc>
  </rcc>
  <rcc rId="3916" sId="7">
    <oc r="M93">
      <f>SUM(M86:M92)</f>
    </oc>
    <nc r="M93">
      <f>SUM(M88:M92)</f>
    </nc>
  </rcc>
  <rcc rId="3917" sId="7">
    <oc r="D102">
      <f>+D18+D25+D30+D35+D40+D45+D52+D58+D64+D79+D85</f>
    </oc>
    <nc r="D102">
      <f>D96</f>
    </nc>
  </rcc>
  <rcc rId="3918" sId="7">
    <oc r="E102">
      <f>+E18+E25+E30+E35+E40+E45+E52+E58+E64+E79+E85</f>
    </oc>
    <nc r="E102">
      <f>E96</f>
    </nc>
  </rcc>
  <rcc rId="3919" sId="7">
    <oc r="F102">
      <f>+F18+F25+F30+F35+F40+F45+F52+F58+F64+F79+F85</f>
    </oc>
    <nc r="F102">
      <f>F96</f>
    </nc>
  </rcc>
  <rcc rId="3920" sId="7">
    <oc r="G102">
      <f>+G18+G25+G30+G35+G40+G45+G52+G58+G64+G79+G85</f>
    </oc>
    <nc r="G102">
      <f>G96</f>
    </nc>
  </rcc>
  <rcc rId="3921" sId="7">
    <oc r="H102">
      <f>+H18+H25+H30+H35+H40+H45+H52+H58+H64+H79+H85</f>
    </oc>
    <nc r="H102">
      <f>H96</f>
    </nc>
  </rcc>
  <rcc rId="3922" sId="7">
    <oc r="I102">
      <f>+I18+I25+I30+I35+I40+I45+I52+I58+I64+I79+I85</f>
    </oc>
    <nc r="I102">
      <f>I96</f>
    </nc>
  </rcc>
  <rcc rId="3923" sId="7">
    <oc r="J102">
      <f>+J18+J25+J30+J35+J40+J45+J52+J58+J64+J79+J85</f>
    </oc>
    <nc r="J102">
      <f>J96</f>
    </nc>
  </rcc>
  <rcc rId="3924" sId="7">
    <oc r="K102">
      <f>+K18+K25+K30+K35+K40+K45+K52+K58+K64+K79+K85</f>
    </oc>
    <nc r="K102">
      <f>K96</f>
    </nc>
  </rcc>
  <rcc rId="3925" sId="7">
    <oc r="L102">
      <f>+L18+L25+L30+L35+L40+L45+L52+L58+L64+L79+L85</f>
    </oc>
    <nc r="L102">
      <f>L96</f>
    </nc>
  </rcc>
  <rcc rId="3926" sId="7">
    <oc r="M102">
      <f>+M18+M25+M30+M35+M40+M45+M52+M58+M64+M79+M85</f>
    </oc>
    <nc r="M102">
      <f>M96</f>
    </nc>
  </rcc>
  <rcc rId="3927" sId="7">
    <oc r="N102">
      <f>+N18+N25+N30+N35+N40+N45+N52+N58+N64+N79+N85</f>
    </oc>
    <nc r="N102">
      <f>N96</f>
    </nc>
  </rcc>
  <rcc rId="3928" sId="7">
    <oc r="O102">
      <f>+O18+O25+O30+O35+O40+O45+O52+O58+O64+O79+O85</f>
    </oc>
    <nc r="O102">
      <f>O96</f>
    </nc>
  </rcc>
</revisions>
</file>

<file path=xl/revisions/revisionLog1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3929" sId="5" ref="A95:XFD104" action="insertRow">
    <undo index="65535" exp="area" ref3D="1" dr="$P$1:$P$1048576" dn="Z_6C0BD6A7_6718_429D_82D9_D2FE0341EA2C_.wvu.Cols" sId="5"/>
    <undo index="65535" exp="area" ref3D="1" dr="$P$1:$P$1048576" dn="Z_594C4AB0_8D5F_4373_9663_410F4413FE3A_.wvu.Cols" sId="5"/>
  </rrc>
  <rcv guid="{DF69299D-7752-4436-A45D-28F739CEE21B}" action="delete"/>
  <rdn rId="0" localSheetId="1" customView="1" name="Z_DF69299D_7752_4436_A45D_28F739CEE21B_.wvu.PrintArea" hidden="1" oldHidden="1">
    <formula>mayor!$A$1:$Q$42</formula>
    <oldFormula>mayor!$A$1:$Q$42</oldFormula>
  </rdn>
  <rdn rId="0" localSheetId="1" customView="1" name="Z_DF69299D_7752_4436_A45D_28F739CEE21B_.wvu.Cols" hidden="1" oldHidden="1">
    <formula>mayor!$P:$P</formula>
    <oldFormula>mayor!$P:$P</oldFormula>
  </rdn>
  <rdn rId="0" localSheetId="1" customView="1" name="Z_DF69299D_7752_4436_A45D_28F739CEE21B_.wvu.FilterData" hidden="1" oldHidden="1">
    <formula>mayor!$A$16:$C$16</formula>
    <oldFormula>mayor!$A$16:$C$16</oldFormula>
  </rdn>
  <rdn rId="0" localSheetId="2" customView="1" name="Z_DF69299D_7752_4436_A45D_28F739CEE21B_.wvu.PrintArea" hidden="1" oldHidden="1">
    <formula>income!$A$1:$Q$16</formula>
    <oldFormula>income!$A$1:$Q$16</oldFormula>
  </rdn>
  <rdn rId="0" localSheetId="2" customView="1" name="Z_DF69299D_7752_4436_A45D_28F739CEE21B_.wvu.Cols" hidden="1" oldHidden="1">
    <formula>income!$P:$P</formula>
    <oldFormula>income!$P:$P</oldFormula>
  </rdn>
  <rdn rId="0" localSheetId="3" customView="1" name="Z_DF69299D_7752_4436_A45D_28F739CEE21B_.wvu.PrintArea" hidden="1" oldHidden="1">
    <formula>workshop!$A$1:$Q$20</formula>
    <oldFormula>workshop!$A$1:$Q$20</oldFormula>
  </rdn>
  <rdn rId="0" localSheetId="3" customView="1" name="Z_DF69299D_7752_4436_A45D_28F739CEE21B_.wvu.Cols" hidden="1" oldHidden="1">
    <formula>workshop!$J:$J,workshop!$P:$P</formula>
    <oldFormula>workshop!$J:$J,workshop!$P:$P</oldFormula>
  </rdn>
  <rdn rId="0" localSheetId="4" customView="1" name="Z_DF69299D_7752_4436_A45D_28F739CEE21B_.wvu.PrintArea" hidden="1" oldHidden="1">
    <formula>'COMMUNITY SERV'!$A$1:$Q$103</formula>
    <oldFormula>'COMMUNITY SERV'!$A$1:$Q$103</oldFormula>
  </rdn>
  <rdn rId="0" localSheetId="5" customView="1" name="Z_DF69299D_7752_4436_A45D_28F739CEE21B_.wvu.PrintArea" hidden="1" oldHidden="1">
    <formula>EEM!$A$1:$Q$107</formula>
    <oldFormula>EEM!$A$1:$Q$107</oldFormula>
  </rdn>
  <rdn rId="0" localSheetId="6" customView="1" name="Z_DF69299D_7752_4436_A45D_28F739CEE21B_.wvu.PrintArea" hidden="1" oldHidden="1">
    <formula>CEM!$A$1:$Q$146</formula>
    <oldFormula>CEM!$A$1:$Q$146</oldFormula>
  </rdn>
  <rdn rId="0" localSheetId="6" customView="1" name="Z_DF69299D_7752_4436_A45D_28F739CEE21B_.wvu.Rows" hidden="1" oldHidden="1">
    <formula>CEM!$141:$141</formula>
    <oldFormula>CEM!$141:$141</oldFormula>
  </rdn>
  <rdn rId="0" localSheetId="6" customView="1" name="Z_DF69299D_7752_4436_A45D_28F739CEE21B_.wvu.Cols" hidden="1" oldHidden="1">
    <formula>CEM!$P:$P</formula>
    <oldFormula>CEM!$P:$P</oldFormula>
  </rdn>
  <rdn rId="0" localSheetId="7" customView="1" name="Z_DF69299D_7752_4436_A45D_28F739CEE21B_.wvu.PrintArea" hidden="1" oldHidden="1">
    <formula>MDC!$A$1:$Q$99</formula>
    <oldFormula>MDC!$A$1:$Q$99</oldFormula>
  </rdn>
  <rdn rId="0" localSheetId="7" customView="1" name="Z_DF69299D_7752_4436_A45D_28F739CEE21B_.wvu.Rows" hidden="1" oldHidden="1">
    <formula>MDC!$67:$73</formula>
    <oldFormula>MDC!$67:$73</oldFormula>
  </rdn>
  <rdn rId="0" localSheetId="7" customView="1" name="Z_DF69299D_7752_4436_A45D_28F739CEE21B_.wvu.Cols" hidden="1" oldHidden="1">
    <formula>MDC!$J:$J,MDC!$P:$P</formula>
    <oldFormula>MDC!$J:$J,MDC!$P:$P</oldFormula>
  </rdn>
  <rdn rId="0" localSheetId="8" customView="1" name="Z_DF69299D_7752_4436_A45D_28F739CEE21B_.wvu.PrintArea" hidden="1" oldHidden="1">
    <formula>BUDGET!$A$1:$B$76</formula>
    <oldFormula>BUDGET!$A$1:$B$76</oldFormula>
  </rdn>
  <rdn rId="0" localSheetId="8" customView="1" name="Z_DF69299D_7752_4436_A45D_28F739CEE21B_.wvu.Rows" hidden="1" oldHidden="1">
    <formula>BUDGET!$3:$7,BUDGET!$9:$9,BUDGET!$11:$11,BUDGET!$13:$16,BUDGET!$18:$21,BUDGET!$23:$23,BUDGET!$25:$28,BUDGET!$30:$36,BUDGET!$38:$38,BUDGET!$40:$40,BUDGET!$42:$47,BUDGET!$49:$49,BUDGET!$51:$54,BUDGET!$56:$59,BUDGET!$61:$66,BUDGET!$68:$68,BUDGET!$70:$70</formula>
    <oldFormula>BUDGET!$3:$7,BUDGET!$9:$9,BUDGET!$11:$11,BUDGET!$13:$16,BUDGET!$18:$21,BUDGET!$23:$23,BUDGET!$25:$28,BUDGET!$30:$36,BUDGET!$38:$38,BUDGET!$40:$40,BUDGET!$42:$47,BUDGET!$49:$49,BUDGET!$51:$54,BUDGET!$56:$59,BUDGET!$61:$66,BUDGET!$68:$68,BUDGET!$70:$70</oldFormula>
  </rdn>
  <rdn rId="0" localSheetId="8" customView="1" name="Z_DF69299D_7752_4436_A45D_28F739CEE21B_.wvu.Cols" hidden="1" oldHidden="1">
    <formula>BUDGET!$C:$S</formula>
    <oldFormula>BUDGET!$C:$S</oldFormula>
  </rdn>
  <rdn rId="0" localSheetId="10" customView="1" name="Z_DF69299D_7752_4436_A45D_28F739CEE21B_.wvu.FilterData" hidden="1" oldHidden="1">
    <formula>orig!$A$1:$AN$198</formula>
    <oldFormula>orig!$A$1:$AN$198</oldFormula>
  </rdn>
  <rdn rId="0" localSheetId="11" customView="1" name="Z_DF69299D_7752_4436_A45D_28F739CEE21B_.wvu.Cols" hidden="1" oldHidden="1">
    <formula>'1-10'!$B:$B</formula>
    <oldFormula>'1-10'!$B:$B</oldFormula>
  </rdn>
  <rdn rId="0" localSheetId="11" customView="1" name="Z_DF69299D_7752_4436_A45D_28F739CEE21B_.wvu.FilterData" hidden="1" oldHidden="1">
    <formula>'1-10'!$A$1:$AY$100</formula>
    <oldFormula>'1-10'!$A$1:$AY$100</oldFormula>
  </rdn>
  <rdn rId="0" localSheetId="12" customView="1" name="Z_DF69299D_7752_4436_A45D_28F739CEE21B_.wvu.Rows" hidden="1" oldHidden="1">
    <formula>'new veh 2012'!$96:$97</formula>
    <oldFormula>'new veh 2012'!$96:$97</oldFormula>
  </rdn>
  <rdn rId="0" localSheetId="12" customView="1" name="Z_DF69299D_7752_4436_A45D_28F739CEE21B_.wvu.FilterData" hidden="1" oldHidden="1">
    <formula>'new veh 2012'!$A$1:$J$95</formula>
    <oldFormula>'new veh 2012'!$A$1:$J$95</oldFormula>
  </rdn>
  <rdn rId="0" localSheetId="14" customView="1" name="Z_DF69299D_7752_4436_A45D_28F739CEE21B_.wvu.FilterData" hidden="1" oldHidden="1">
    <formula>stbk!$A$1:$G$199</formula>
    <oldFormula>stbk!$A$1:$G$199</oldFormula>
  </rdn>
  <rcv guid="{DF69299D-7752-4436-A45D-28F739CEE21B}" action="add"/>
</revisions>
</file>

<file path=xl/revisions/revisionLog1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54" sId="5" odxf="1" dxf="1">
    <nc r="A96" t="inlineStr">
      <is>
        <t>TAR/CODE</t>
      </is>
    </nc>
    <odxf>
      <font>
        <u val="none"/>
        <sz val="8"/>
        <name val="Consolas"/>
        <family val="3"/>
      </font>
      <fill>
        <patternFill patternType="none">
          <bgColor indexed="65"/>
        </patternFill>
      </fill>
      <border outline="0">
        <left/>
        <top/>
        <bottom/>
      </border>
    </odxf>
    <ndxf>
      <font>
        <u/>
        <sz val="8"/>
        <name val="Consolas"/>
        <family val="3"/>
      </font>
      <fill>
        <patternFill patternType="solid">
          <bgColor theme="8" tint="0.79998168889431442"/>
        </patternFill>
      </fill>
      <border outline="0">
        <left style="medium">
          <color indexed="64"/>
        </left>
        <top style="medium">
          <color indexed="64"/>
        </top>
        <bottom style="medium">
          <color indexed="64"/>
        </bottom>
      </border>
    </ndxf>
  </rcc>
  <rcc rId="3955" sId="5" odxf="1" dxf="1">
    <nc r="B96" t="inlineStr">
      <is>
        <t>V0172</t>
      </is>
    </nc>
    <odxf>
      <font>
        <u val="none"/>
        <sz val="8"/>
        <name val="Consolas"/>
        <family val="3"/>
      </font>
      <fill>
        <patternFill patternType="none">
          <bgColor indexed="65"/>
        </patternFill>
      </fill>
      <alignment horizontal="general" vertical="bottom"/>
      <border outline="0">
        <right/>
        <top/>
        <bottom/>
      </border>
    </odxf>
    <ndxf>
      <font>
        <u/>
        <sz val="8"/>
        <name val="Consolas"/>
        <family val="3"/>
      </font>
      <fill>
        <patternFill patternType="solid">
          <bgColor theme="8" tint="0.79998168889431442"/>
        </patternFill>
      </fill>
      <alignment horizontal="center" vertical="top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fmt sheetId="5" sqref="C96" start="0" length="0">
    <dxf>
      <font>
        <b val="0"/>
        <sz val="8"/>
        <name val="Consolas"/>
        <family val="3"/>
      </font>
    </dxf>
  </rfmt>
  <rcc rId="3956" sId="5" odxf="1" dxf="1">
    <nc r="D96" t="inlineStr">
      <is>
        <t>5-5 CRANE TRUCK</t>
      </is>
    </nc>
    <odxf>
      <numFmt numFmtId="167" formatCode="#,##0;[Red]#,##0"/>
      <fill>
        <patternFill patternType="none">
          <bgColor indexed="65"/>
        </patternFill>
      </fill>
      <border outline="0">
        <left/>
        <top/>
        <bottom/>
      </border>
    </odxf>
    <ndxf>
      <numFmt numFmtId="165" formatCode="0_);\(0\)"/>
      <fill>
        <patternFill patternType="solid">
          <bgColor theme="8" tint="0.79998168889431442"/>
        </patternFill>
      </fill>
      <border outline="0">
        <left style="medium">
          <color indexed="64"/>
        </left>
        <top style="medium">
          <color indexed="64"/>
        </top>
        <bottom style="medium">
          <color indexed="64"/>
        </bottom>
      </border>
    </ndxf>
  </rcc>
  <rfmt sheetId="5" s="1" sqref="E96" start="0" length="0">
    <dxf>
      <numFmt numFmtId="165" formatCode="0_);\(0\)"/>
      <fill>
        <patternFill patternType="solid">
          <bgColor theme="8" tint="0.79998168889431442"/>
        </patternFill>
      </fill>
      <alignment horizontal="center"/>
      <border outline="0">
        <top style="medium">
          <color indexed="64"/>
        </top>
        <bottom style="medium">
          <color indexed="64"/>
        </bottom>
      </border>
    </dxf>
  </rfmt>
  <rfmt sheetId="5" s="1" sqref="F96" start="0" length="0">
    <dxf>
      <numFmt numFmtId="165" formatCode="0_);\(0\)"/>
      <fill>
        <patternFill patternType="solid">
          <bgColor theme="8" tint="0.79998168889431442"/>
        </patternFill>
      </fill>
      <alignment horizontal="center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5" s="1" sqref="G96" start="0" length="0">
    <dxf>
      <font>
        <b val="0"/>
        <sz val="8"/>
        <color auto="1"/>
        <name val="Consolas"/>
        <family val="3"/>
        <scheme val="none"/>
      </font>
      <numFmt numFmtId="0" formatCode="General"/>
    </dxf>
  </rfmt>
  <rfmt sheetId="5" s="1" sqref="H96" start="0" length="0">
    <dxf>
      <font>
        <b val="0"/>
        <sz val="8"/>
        <color auto="1"/>
        <name val="Consolas"/>
        <family val="3"/>
        <scheme val="none"/>
      </font>
      <numFmt numFmtId="0" formatCode="General"/>
    </dxf>
  </rfmt>
  <rfmt sheetId="5" s="1" sqref="I96" start="0" length="0">
    <dxf>
      <font>
        <b val="0"/>
        <sz val="8"/>
        <color auto="1"/>
        <name val="Consolas"/>
        <family val="3"/>
        <scheme val="none"/>
      </font>
      <numFmt numFmtId="0" formatCode="General"/>
    </dxf>
  </rfmt>
  <rfmt sheetId="5" s="1" sqref="J96" start="0" length="0">
    <dxf>
      <font>
        <b val="0"/>
        <sz val="8"/>
        <color auto="1"/>
        <name val="Consolas"/>
        <family val="3"/>
        <scheme val="none"/>
      </font>
      <numFmt numFmtId="0" formatCode="General"/>
    </dxf>
  </rfmt>
  <rfmt sheetId="5" s="1" sqref="K96" start="0" length="0">
    <dxf>
      <font>
        <b val="0"/>
        <sz val="8"/>
        <color auto="1"/>
        <name val="Consolas"/>
        <family val="3"/>
        <scheme val="none"/>
      </font>
      <numFmt numFmtId="0" formatCode="General"/>
    </dxf>
  </rfmt>
  <rfmt sheetId="5" s="1" sqref="L96" start="0" length="0">
    <dxf>
      <font>
        <b val="0"/>
        <sz val="8"/>
        <color auto="1"/>
        <name val="Consolas"/>
        <family val="3"/>
        <scheme val="none"/>
      </font>
      <numFmt numFmtId="0" formatCode="General"/>
    </dxf>
  </rfmt>
  <rfmt sheetId="5" s="1" sqref="M96" start="0" length="0">
    <dxf>
      <font>
        <b val="0"/>
        <sz val="8"/>
        <color auto="1"/>
        <name val="Consolas"/>
        <family val="3"/>
        <scheme val="none"/>
      </font>
      <numFmt numFmtId="0" formatCode="General"/>
    </dxf>
  </rfmt>
  <rfmt sheetId="5" s="1" sqref="N96" start="0" length="0">
    <dxf>
      <font>
        <b val="0"/>
        <sz val="8"/>
        <color auto="1"/>
        <name val="Consolas"/>
        <family val="3"/>
        <scheme val="none"/>
      </font>
      <numFmt numFmtId="0" formatCode="General"/>
    </dxf>
  </rfmt>
  <rfmt sheetId="5" s="1" sqref="O96" start="0" length="0">
    <dxf>
      <font>
        <b val="0"/>
        <sz val="8"/>
        <color auto="1"/>
        <name val="Consolas"/>
        <family val="3"/>
        <scheme val="none"/>
      </font>
      <numFmt numFmtId="0" formatCode="General"/>
    </dxf>
  </rfmt>
  <rfmt sheetId="5" sqref="P96" start="0" length="0">
    <dxf>
      <font>
        <b val="0"/>
        <sz val="8"/>
        <name val="Consolas"/>
        <family val="3"/>
      </font>
    </dxf>
  </rfmt>
  <rfmt sheetId="5" sqref="Q96" start="0" length="0">
    <dxf>
      <font>
        <b val="0"/>
        <sz val="8"/>
        <name val="Consolas"/>
        <family val="3"/>
      </font>
    </dxf>
  </rfmt>
  <rfmt sheetId="5" sqref="A97" start="0" length="0">
    <dxf>
      <font>
        <b val="0"/>
        <sz val="8"/>
        <name val="Consolas"/>
        <family val="3"/>
      </font>
    </dxf>
  </rfmt>
  <rfmt sheetId="5" sqref="B97" start="0" length="0">
    <dxf>
      <font>
        <b val="0"/>
        <sz val="8"/>
        <name val="Consolas"/>
        <family val="3"/>
      </font>
    </dxf>
  </rfmt>
  <rfmt sheetId="5" sqref="C97" start="0" length="0">
    <dxf>
      <font>
        <b val="0"/>
        <sz val="8"/>
        <name val="Consolas"/>
        <family val="3"/>
      </font>
    </dxf>
  </rfmt>
  <rfmt sheetId="5" sqref="D97" start="0" length="0">
    <dxf>
      <font>
        <b val="0"/>
        <sz val="8"/>
        <name val="Consolas"/>
        <family val="3"/>
      </font>
    </dxf>
  </rfmt>
  <rfmt sheetId="5" s="1" sqref="E97" start="0" length="0">
    <dxf>
      <font>
        <b val="0"/>
        <sz val="8"/>
        <color auto="1"/>
        <name val="Consolas"/>
        <family val="3"/>
        <scheme val="none"/>
      </font>
      <numFmt numFmtId="0" formatCode="General"/>
    </dxf>
  </rfmt>
  <rfmt sheetId="5" s="1" sqref="F97" start="0" length="0">
    <dxf>
      <font>
        <b val="0"/>
        <sz val="8"/>
        <color auto="1"/>
        <name val="Consolas"/>
        <family val="3"/>
        <scheme val="none"/>
      </font>
      <numFmt numFmtId="0" formatCode="General"/>
    </dxf>
  </rfmt>
  <rfmt sheetId="5" s="1" sqref="G97" start="0" length="0">
    <dxf>
      <font>
        <b val="0"/>
        <sz val="8"/>
        <color auto="1"/>
        <name val="Consolas"/>
        <family val="3"/>
        <scheme val="none"/>
      </font>
      <numFmt numFmtId="0" formatCode="General"/>
    </dxf>
  </rfmt>
  <rfmt sheetId="5" s="1" sqref="H97" start="0" length="0">
    <dxf>
      <font>
        <b val="0"/>
        <sz val="8"/>
        <color auto="1"/>
        <name val="Consolas"/>
        <family val="3"/>
        <scheme val="none"/>
      </font>
      <numFmt numFmtId="0" formatCode="General"/>
    </dxf>
  </rfmt>
  <rfmt sheetId="5" s="1" sqref="I97" start="0" length="0">
    <dxf>
      <font>
        <b val="0"/>
        <sz val="8"/>
        <color auto="1"/>
        <name val="Consolas"/>
        <family val="3"/>
        <scheme val="none"/>
      </font>
      <numFmt numFmtId="0" formatCode="General"/>
    </dxf>
  </rfmt>
  <rfmt sheetId="5" s="1" sqref="J97" start="0" length="0">
    <dxf>
      <font>
        <b val="0"/>
        <sz val="8"/>
        <color auto="1"/>
        <name val="Consolas"/>
        <family val="3"/>
        <scheme val="none"/>
      </font>
      <numFmt numFmtId="0" formatCode="General"/>
    </dxf>
  </rfmt>
  <rfmt sheetId="5" s="1" sqref="K97" start="0" length="0">
    <dxf>
      <font>
        <b val="0"/>
        <sz val="8"/>
        <color auto="1"/>
        <name val="Consolas"/>
        <family val="3"/>
        <scheme val="none"/>
      </font>
      <numFmt numFmtId="0" formatCode="General"/>
    </dxf>
  </rfmt>
  <rfmt sheetId="5" s="1" sqref="L97" start="0" length="0">
    <dxf>
      <font>
        <b val="0"/>
        <sz val="8"/>
        <color auto="1"/>
        <name val="Consolas"/>
        <family val="3"/>
        <scheme val="none"/>
      </font>
      <numFmt numFmtId="0" formatCode="General"/>
    </dxf>
  </rfmt>
  <rfmt sheetId="5" s="1" sqref="M97" start="0" length="0">
    <dxf>
      <font>
        <b val="0"/>
        <sz val="8"/>
        <color auto="1"/>
        <name val="Consolas"/>
        <family val="3"/>
        <scheme val="none"/>
      </font>
      <numFmt numFmtId="0" formatCode="General"/>
    </dxf>
  </rfmt>
  <rfmt sheetId="5" s="1" sqref="N97" start="0" length="0">
    <dxf>
      <font>
        <b val="0"/>
        <sz val="8"/>
        <color auto="1"/>
        <name val="Consolas"/>
        <family val="3"/>
        <scheme val="none"/>
      </font>
      <numFmt numFmtId="0" formatCode="General"/>
    </dxf>
  </rfmt>
  <rfmt sheetId="5" s="1" sqref="O97" start="0" length="0">
    <dxf>
      <font>
        <b val="0"/>
        <sz val="8"/>
        <color auto="1"/>
        <name val="Consolas"/>
        <family val="3"/>
        <scheme val="none"/>
      </font>
      <numFmt numFmtId="0" formatCode="General"/>
    </dxf>
  </rfmt>
  <rfmt sheetId="5" sqref="P97" start="0" length="0">
    <dxf>
      <font>
        <b val="0"/>
        <sz val="8"/>
        <name val="Consolas"/>
        <family val="3"/>
      </font>
    </dxf>
  </rfmt>
  <rfmt sheetId="5" sqref="Q97" start="0" length="0">
    <dxf>
      <font>
        <b val="0"/>
        <sz val="8"/>
        <name val="Consolas"/>
        <family val="3"/>
      </font>
    </dxf>
  </rfmt>
  <rfmt sheetId="5" sqref="A98" start="0" length="0">
    <dxf>
      <font>
        <b val="0"/>
        <sz val="7"/>
        <name val="Consolas"/>
        <family val="3"/>
      </font>
      <fill>
        <patternFill patternType="solid">
          <bgColor rgb="FFFFFF00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957" sId="5" odxf="1" dxf="1">
    <nc r="B98">
      <f>+'1-10'!R118</f>
    </nc>
    <odxf>
      <font>
        <b/>
        <sz val="8"/>
        <name val="Consolas"/>
        <family val="3"/>
      </font>
      <fill>
        <patternFill patternType="none">
          <bgColor indexed="65"/>
        </patternFill>
      </fill>
      <border outline="0">
        <left/>
        <top/>
        <bottom/>
      </border>
    </odxf>
    <ndxf>
      <font>
        <b val="0"/>
        <sz val="8"/>
        <name val="Consolas"/>
        <family val="3"/>
      </font>
      <fill>
        <patternFill patternType="solid">
          <bgColor rgb="FFFFFF00"/>
        </patternFill>
      </fill>
      <border outline="0">
        <left style="medium">
          <color indexed="64"/>
        </left>
        <top style="medium">
          <color indexed="64"/>
        </top>
        <bottom style="medium">
          <color indexed="64"/>
        </bottom>
      </border>
    </ndxf>
  </rcc>
  <rcc rId="3958" sId="5" odxf="1" dxf="1">
    <nc r="C98" t="inlineStr">
      <is>
        <t>699</t>
      </is>
    </nc>
    <odxf>
      <font>
        <b/>
        <sz val="8"/>
        <name val="Consolas"/>
        <family val="3"/>
      </font>
      <numFmt numFmtId="0" formatCode="General"/>
      <fill>
        <patternFill patternType="none">
          <bgColor indexed="65"/>
        </patternFill>
      </fill>
      <alignment horizontal="center" vertical="top"/>
      <border outline="0">
        <left/>
        <right/>
        <top/>
        <bottom/>
      </border>
    </odxf>
    <ndxf>
      <font>
        <b val="0"/>
        <sz val="8"/>
        <color theme="1"/>
        <name val="Consolas"/>
        <family val="3"/>
      </font>
      <numFmt numFmtId="30" formatCode="@"/>
      <fill>
        <patternFill patternType="solid">
          <bgColor rgb="FFFFFF00"/>
        </patternFill>
      </fill>
      <alignment horizontal="general" vertical="bottom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fmt sheetId="5" sqref="D98" start="0" length="0">
    <dxf>
      <font>
        <b val="0"/>
        <sz val="8"/>
        <name val="Consolas"/>
        <family val="3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E98" start="0" length="0">
    <dxf>
      <font>
        <b val="0"/>
        <sz val="8"/>
        <name val="Consolas"/>
        <family val="3"/>
      </font>
      <fill>
        <patternFill patternType="solid">
          <bgColor rgb="FF00B0F0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F98" start="0" length="0">
    <dxf>
      <font>
        <b val="0"/>
        <sz val="8"/>
        <name val="Consolas"/>
        <family val="3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G98" start="0" length="0">
    <dxf>
      <font>
        <b val="0"/>
        <sz val="8"/>
        <name val="Consolas"/>
        <family val="3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H98" start="0" length="0">
    <dxf>
      <font>
        <b val="0"/>
        <sz val="8"/>
        <name val="Consolas"/>
        <family val="3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I98" start="0" length="0">
    <dxf>
      <font>
        <b val="0"/>
        <sz val="8"/>
        <name val="Consolas"/>
        <family val="3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J98" start="0" length="0">
    <dxf>
      <font>
        <b val="0"/>
        <sz val="8"/>
        <name val="Consolas"/>
        <family val="3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K98" start="0" length="0">
    <dxf>
      <font>
        <b val="0"/>
        <sz val="8"/>
        <name val="Consolas"/>
        <family val="3"/>
      </font>
      <fill>
        <patternFill patternType="solid">
          <bgColor rgb="FF7030A0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L98" start="0" length="0">
    <dxf>
      <font>
        <b val="0"/>
        <sz val="8"/>
        <name val="Consolas"/>
        <family val="3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959" sId="5" odxf="1" dxf="1">
    <nc r="M98">
      <f>SUM(E98:L98)</f>
    </nc>
    <odxf>
      <font>
        <b/>
        <sz val="8"/>
        <name val="Consolas"/>
        <family val="3"/>
      </font>
      <border outline="0">
        <left/>
        <right/>
        <top/>
        <bottom/>
      </border>
    </odxf>
    <ndxf>
      <font>
        <b val="0"/>
        <sz val="8"/>
        <name val="Consolas"/>
        <family val="3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60" sId="5" odxf="1" dxf="1">
    <nc r="N98">
      <f>M98/CALC!$A$8*CALC!$A$6</f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61" sId="5" odxf="1" dxf="1">
    <nc r="O98">
      <f>+M98+N98</f>
    </nc>
    <odxf>
      <font>
        <b/>
        <sz val="8"/>
        <name val="Consolas"/>
        <family val="3"/>
      </font>
      <border outline="0">
        <left/>
        <right/>
        <top/>
        <bottom/>
      </border>
    </odxf>
    <ndxf>
      <font>
        <b val="0"/>
        <sz val="8"/>
        <name val="Consolas"/>
        <family val="3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5" sqref="P98" start="0" length="0">
    <dxf>
      <font>
        <b val="0"/>
        <sz val="8"/>
        <name val="Consolas"/>
        <family val="3"/>
      </font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</rfmt>
  <rfmt sheetId="5" sqref="Q98" start="0" length="0">
    <dxf>
      <font>
        <b val="0"/>
        <sz val="8"/>
        <name val="Consolas"/>
        <family val="3"/>
      </font>
    </dxf>
  </rfmt>
  <rfmt sheetId="5" sqref="A99" start="0" length="0">
    <dxf>
      <font>
        <b val="0"/>
        <sz val="8"/>
        <name val="Consolas"/>
        <family val="3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B99" start="0" length="0">
    <dxf>
      <font>
        <b val="0"/>
        <sz val="8"/>
        <name val="Consolas"/>
        <family val="3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C99" start="0" length="0">
    <dxf>
      <font>
        <b val="0"/>
        <sz val="8"/>
        <name val="Consolas"/>
        <family val="3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D99" start="0" length="0">
    <dxf>
      <font>
        <b val="0"/>
        <sz val="8"/>
        <name val="Consolas"/>
        <family val="3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E99" start="0" length="0">
    <dxf>
      <font>
        <b val="0"/>
        <sz val="8"/>
        <name val="Consolas"/>
        <family val="3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F99" start="0" length="0">
    <dxf>
      <font>
        <b val="0"/>
        <sz val="8"/>
        <name val="Consolas"/>
        <family val="3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G99" start="0" length="0">
    <dxf>
      <font>
        <b val="0"/>
        <sz val="8"/>
        <name val="Consolas"/>
        <family val="3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H99" start="0" length="0">
    <dxf>
      <font>
        <b val="0"/>
        <sz val="8"/>
        <name val="Consolas"/>
        <family val="3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I99" start="0" length="0">
    <dxf>
      <font>
        <b val="0"/>
        <sz val="8"/>
        <name val="Consolas"/>
        <family val="3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J99" start="0" length="0">
    <dxf>
      <font>
        <b val="0"/>
        <sz val="8"/>
        <name val="Consolas"/>
        <family val="3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K99" start="0" length="0">
    <dxf>
      <font>
        <b val="0"/>
        <sz val="8"/>
        <name val="Consolas"/>
        <family val="3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L99" start="0" length="0">
    <dxf>
      <font>
        <b val="0"/>
        <sz val="8"/>
        <name val="Consolas"/>
        <family val="3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M99" start="0" length="0">
    <dxf>
      <font>
        <b val="0"/>
        <sz val="8"/>
        <name val="Consolas"/>
        <family val="3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N99" start="0" length="0">
    <dxf>
      <font>
        <b val="0"/>
        <sz val="8"/>
        <name val="Consolas"/>
        <family val="3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O99" start="0" length="0">
    <dxf>
      <font>
        <b val="0"/>
        <sz val="8"/>
        <name val="Consolas"/>
        <family val="3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P99" start="0" length="0">
    <dxf>
      <font>
        <b val="0"/>
        <sz val="8"/>
        <name val="Consolas"/>
        <family val="3"/>
      </font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</rfmt>
  <rfmt sheetId="5" sqref="Q99" start="0" length="0">
    <dxf>
      <font>
        <b val="0"/>
        <sz val="8"/>
        <name val="Consolas"/>
        <family val="3"/>
      </font>
    </dxf>
  </rfmt>
  <rfmt sheetId="5" sqref="A100" start="0" length="0">
    <dxf/>
  </rfmt>
  <rcc rId="3962" sId="5" odxf="1" dxf="1">
    <nc r="B100" t="inlineStr">
      <is>
        <t>TOTAL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5" sqref="C10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963" sId="5" odxf="1" dxf="1">
    <nc r="D100">
      <f>SUM(D98:D99)</f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64" sId="5" odxf="1" dxf="1">
    <nc r="E100">
      <f>SUM(E98:E99)</f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65" sId="5" odxf="1" dxf="1">
    <nc r="F100">
      <f>SUM(F98:F99)</f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66" sId="5" odxf="1" dxf="1">
    <nc r="G100">
      <f>SUM(G98:G99)</f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67" sId="5" odxf="1" dxf="1">
    <nc r="H100">
      <f>SUM(H98:H99)</f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68" sId="5" odxf="1" dxf="1">
    <nc r="I100">
      <f>SUM(I98:I99)</f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69" sId="5" odxf="1" dxf="1">
    <nc r="J100">
      <f>SUM(J98:J99)</f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70" sId="5" odxf="1" dxf="1">
    <nc r="K100">
      <f>SUM(K98:K99)</f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71" sId="5" odxf="1" dxf="1">
    <nc r="L100">
      <f>+L98</f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72" sId="5" odxf="1" dxf="1">
    <nc r="M100">
      <f>SUM(M98:M99)</f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73" sId="5" odxf="1" dxf="1">
    <nc r="N100">
      <f>M100/CALC!$A$8*CALC!$A$6</f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74" sId="5" odxf="1" dxf="1">
    <nc r="O100">
      <f>+M100+N100</f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5" sqref="P100" start="0" length="0"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</rfmt>
  <rcc rId="3975" sId="5" odxf="1" dxf="1">
    <nc r="Q100">
      <f>(+O100/D100)*(1+CALC!$A$3)</f>
    </nc>
    <odxf>
      <fill>
        <patternFill patternType="none">
          <bgColor indexed="65"/>
        </patternFill>
      </fill>
    </odxf>
    <ndxf>
      <fill>
        <patternFill patternType="solid">
          <bgColor theme="6" tint="0.79998168889431442"/>
        </patternFill>
      </fill>
    </ndxf>
  </rcc>
  <rcc rId="3976" sId="5" odxf="1" dxf="1">
    <nc r="A101" t="inlineStr">
      <is>
        <t>TAR/CODE</t>
      </is>
    </nc>
    <odxf>
      <font>
        <u val="none"/>
        <sz val="8"/>
        <name val="Consolas"/>
        <family val="3"/>
      </font>
      <fill>
        <patternFill patternType="none">
          <bgColor indexed="65"/>
        </patternFill>
      </fill>
      <border outline="0">
        <left/>
        <top/>
        <bottom/>
      </border>
    </odxf>
    <ndxf>
      <font>
        <u/>
        <sz val="8"/>
        <name val="Consolas"/>
        <family val="3"/>
      </font>
      <fill>
        <patternFill patternType="solid">
          <bgColor theme="8" tint="0.79998168889431442"/>
        </patternFill>
      </fill>
      <border outline="0">
        <left style="medium">
          <color indexed="64"/>
        </left>
        <top style="medium">
          <color indexed="64"/>
        </top>
        <bottom style="medium">
          <color indexed="64"/>
        </bottom>
      </border>
    </ndxf>
  </rcc>
  <rcc rId="3977" sId="5" odxf="1" dxf="1">
    <nc r="B101" t="inlineStr">
      <is>
        <t>V0172</t>
      </is>
    </nc>
    <odxf>
      <font>
        <u val="none"/>
        <sz val="8"/>
        <name val="Consolas"/>
        <family val="3"/>
      </font>
      <fill>
        <patternFill patternType="none">
          <bgColor indexed="65"/>
        </patternFill>
      </fill>
      <alignment horizontal="general" vertical="bottom"/>
      <border outline="0">
        <right/>
        <top/>
        <bottom/>
      </border>
    </odxf>
    <ndxf>
      <font>
        <u/>
        <sz val="8"/>
        <name val="Consolas"/>
        <family val="3"/>
      </font>
      <fill>
        <patternFill patternType="solid">
          <bgColor theme="8" tint="0.79998168889431442"/>
        </patternFill>
      </fill>
      <alignment horizontal="center" vertical="top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fmt sheetId="5" sqref="C101" start="0" length="0">
    <dxf>
      <font>
        <b val="0"/>
        <sz val="8"/>
        <name val="Consolas"/>
        <family val="3"/>
      </font>
    </dxf>
  </rfmt>
  <rcc rId="3978" sId="5" odxf="1" dxf="1">
    <nc r="D101" t="inlineStr">
      <is>
        <t>5-5 CRANE TRUCK</t>
      </is>
    </nc>
    <odxf>
      <numFmt numFmtId="167" formatCode="#,##0;[Red]#,##0"/>
      <fill>
        <patternFill patternType="none">
          <bgColor indexed="65"/>
        </patternFill>
      </fill>
      <border outline="0">
        <left/>
        <top/>
        <bottom/>
      </border>
    </odxf>
    <ndxf>
      <numFmt numFmtId="165" formatCode="0_);\(0\)"/>
      <fill>
        <patternFill patternType="solid">
          <bgColor theme="8" tint="0.79998168889431442"/>
        </patternFill>
      </fill>
      <border outline="0">
        <left style="medium">
          <color indexed="64"/>
        </left>
        <top style="medium">
          <color indexed="64"/>
        </top>
        <bottom style="medium">
          <color indexed="64"/>
        </bottom>
      </border>
    </ndxf>
  </rcc>
  <rfmt sheetId="5" s="1" sqref="E101" start="0" length="0">
    <dxf>
      <numFmt numFmtId="165" formatCode="0_);\(0\)"/>
      <fill>
        <patternFill patternType="solid">
          <bgColor theme="8" tint="0.79998168889431442"/>
        </patternFill>
      </fill>
      <alignment horizontal="center"/>
      <border outline="0">
        <top style="medium">
          <color indexed="64"/>
        </top>
        <bottom style="medium">
          <color indexed="64"/>
        </bottom>
      </border>
    </dxf>
  </rfmt>
  <rfmt sheetId="5" s="1" sqref="F101" start="0" length="0">
    <dxf>
      <numFmt numFmtId="165" formatCode="0_);\(0\)"/>
      <fill>
        <patternFill patternType="solid">
          <bgColor theme="8" tint="0.79998168889431442"/>
        </patternFill>
      </fill>
      <alignment horizontal="center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5" s="1" sqref="G101" start="0" length="0">
    <dxf>
      <font>
        <b val="0"/>
        <sz val="8"/>
        <color auto="1"/>
        <name val="Consolas"/>
        <family val="3"/>
        <scheme val="none"/>
      </font>
      <numFmt numFmtId="0" formatCode="General"/>
    </dxf>
  </rfmt>
  <rfmt sheetId="5" s="1" sqref="H101" start="0" length="0">
    <dxf>
      <font>
        <b val="0"/>
        <sz val="8"/>
        <color auto="1"/>
        <name val="Consolas"/>
        <family val="3"/>
        <scheme val="none"/>
      </font>
      <numFmt numFmtId="0" formatCode="General"/>
    </dxf>
  </rfmt>
  <rfmt sheetId="5" s="1" sqref="I101" start="0" length="0">
    <dxf>
      <font>
        <b val="0"/>
        <sz val="8"/>
        <color auto="1"/>
        <name val="Consolas"/>
        <family val="3"/>
        <scheme val="none"/>
      </font>
      <numFmt numFmtId="0" formatCode="General"/>
    </dxf>
  </rfmt>
  <rfmt sheetId="5" s="1" sqref="J101" start="0" length="0">
    <dxf>
      <font>
        <b val="0"/>
        <sz val="8"/>
        <color auto="1"/>
        <name val="Consolas"/>
        <family val="3"/>
        <scheme val="none"/>
      </font>
      <numFmt numFmtId="0" formatCode="General"/>
    </dxf>
  </rfmt>
  <rfmt sheetId="5" s="1" sqref="K101" start="0" length="0">
    <dxf>
      <font>
        <b val="0"/>
        <sz val="8"/>
        <color auto="1"/>
        <name val="Consolas"/>
        <family val="3"/>
        <scheme val="none"/>
      </font>
      <numFmt numFmtId="0" formatCode="General"/>
    </dxf>
  </rfmt>
  <rfmt sheetId="5" s="1" sqref="L101" start="0" length="0">
    <dxf>
      <font>
        <b val="0"/>
        <sz val="8"/>
        <color auto="1"/>
        <name val="Consolas"/>
        <family val="3"/>
        <scheme val="none"/>
      </font>
      <numFmt numFmtId="0" formatCode="General"/>
    </dxf>
  </rfmt>
  <rfmt sheetId="5" s="1" sqref="M101" start="0" length="0">
    <dxf>
      <font>
        <b val="0"/>
        <sz val="8"/>
        <color auto="1"/>
        <name val="Consolas"/>
        <family val="3"/>
        <scheme val="none"/>
      </font>
      <numFmt numFmtId="0" formatCode="General"/>
    </dxf>
  </rfmt>
  <rfmt sheetId="5" s="1" sqref="N101" start="0" length="0">
    <dxf>
      <font>
        <b val="0"/>
        <sz val="8"/>
        <color auto="1"/>
        <name val="Consolas"/>
        <family val="3"/>
        <scheme val="none"/>
      </font>
      <numFmt numFmtId="0" formatCode="General"/>
    </dxf>
  </rfmt>
  <rfmt sheetId="5" s="1" sqref="O101" start="0" length="0">
    <dxf>
      <font>
        <b val="0"/>
        <sz val="8"/>
        <color auto="1"/>
        <name val="Consolas"/>
        <family val="3"/>
        <scheme val="none"/>
      </font>
      <numFmt numFmtId="0" formatCode="General"/>
    </dxf>
  </rfmt>
  <rfmt sheetId="5" sqref="P101" start="0" length="0">
    <dxf>
      <font>
        <b val="0"/>
        <sz val="8"/>
        <name val="Consolas"/>
        <family val="3"/>
      </font>
    </dxf>
  </rfmt>
  <rfmt sheetId="5" sqref="Q101" start="0" length="0">
    <dxf>
      <font>
        <b val="0"/>
        <sz val="8"/>
        <name val="Consolas"/>
        <family val="3"/>
      </font>
    </dxf>
  </rfmt>
  <rfmt sheetId="5" sqref="A102" start="0" length="0">
    <dxf>
      <font>
        <b val="0"/>
        <sz val="8"/>
        <name val="Consolas"/>
        <family val="3"/>
      </font>
    </dxf>
  </rfmt>
  <rfmt sheetId="5" sqref="B102" start="0" length="0">
    <dxf>
      <font>
        <b val="0"/>
        <sz val="8"/>
        <name val="Consolas"/>
        <family val="3"/>
      </font>
    </dxf>
  </rfmt>
  <rfmt sheetId="5" sqref="C102" start="0" length="0">
    <dxf>
      <font>
        <b val="0"/>
        <sz val="8"/>
        <name val="Consolas"/>
        <family val="3"/>
      </font>
    </dxf>
  </rfmt>
  <rfmt sheetId="5" sqref="D102" start="0" length="0">
    <dxf>
      <font>
        <b val="0"/>
        <sz val="8"/>
        <name val="Consolas"/>
        <family val="3"/>
      </font>
    </dxf>
  </rfmt>
  <rfmt sheetId="5" s="1" sqref="E102" start="0" length="0">
    <dxf>
      <font>
        <b val="0"/>
        <sz val="8"/>
        <color auto="1"/>
        <name val="Consolas"/>
        <family val="3"/>
        <scheme val="none"/>
      </font>
      <numFmt numFmtId="0" formatCode="General"/>
    </dxf>
  </rfmt>
  <rfmt sheetId="5" s="1" sqref="F102" start="0" length="0">
    <dxf>
      <font>
        <b val="0"/>
        <sz val="8"/>
        <color auto="1"/>
        <name val="Consolas"/>
        <family val="3"/>
        <scheme val="none"/>
      </font>
      <numFmt numFmtId="0" formatCode="General"/>
    </dxf>
  </rfmt>
  <rfmt sheetId="5" s="1" sqref="G102" start="0" length="0">
    <dxf>
      <font>
        <b val="0"/>
        <sz val="8"/>
        <color auto="1"/>
        <name val="Consolas"/>
        <family val="3"/>
        <scheme val="none"/>
      </font>
      <numFmt numFmtId="0" formatCode="General"/>
    </dxf>
  </rfmt>
  <rfmt sheetId="5" s="1" sqref="H102" start="0" length="0">
    <dxf>
      <font>
        <b val="0"/>
        <sz val="8"/>
        <color auto="1"/>
        <name val="Consolas"/>
        <family val="3"/>
        <scheme val="none"/>
      </font>
      <numFmt numFmtId="0" formatCode="General"/>
    </dxf>
  </rfmt>
  <rfmt sheetId="5" s="1" sqref="I102" start="0" length="0">
    <dxf>
      <font>
        <b val="0"/>
        <sz val="8"/>
        <color auto="1"/>
        <name val="Consolas"/>
        <family val="3"/>
        <scheme val="none"/>
      </font>
      <numFmt numFmtId="0" formatCode="General"/>
    </dxf>
  </rfmt>
  <rfmt sheetId="5" s="1" sqref="J102" start="0" length="0">
    <dxf>
      <font>
        <b val="0"/>
        <sz val="8"/>
        <color auto="1"/>
        <name val="Consolas"/>
        <family val="3"/>
        <scheme val="none"/>
      </font>
      <numFmt numFmtId="0" formatCode="General"/>
    </dxf>
  </rfmt>
  <rfmt sheetId="5" s="1" sqref="K102" start="0" length="0">
    <dxf>
      <font>
        <b val="0"/>
        <sz val="8"/>
        <color auto="1"/>
        <name val="Consolas"/>
        <family val="3"/>
        <scheme val="none"/>
      </font>
      <numFmt numFmtId="0" formatCode="General"/>
    </dxf>
  </rfmt>
  <rfmt sheetId="5" s="1" sqref="L102" start="0" length="0">
    <dxf>
      <font>
        <b val="0"/>
        <sz val="8"/>
        <color auto="1"/>
        <name val="Consolas"/>
        <family val="3"/>
        <scheme val="none"/>
      </font>
      <numFmt numFmtId="0" formatCode="General"/>
    </dxf>
  </rfmt>
  <rfmt sheetId="5" s="1" sqref="M102" start="0" length="0">
    <dxf>
      <font>
        <b val="0"/>
        <sz val="8"/>
        <color auto="1"/>
        <name val="Consolas"/>
        <family val="3"/>
        <scheme val="none"/>
      </font>
      <numFmt numFmtId="0" formatCode="General"/>
    </dxf>
  </rfmt>
  <rfmt sheetId="5" s="1" sqref="N102" start="0" length="0">
    <dxf>
      <font>
        <b val="0"/>
        <sz val="8"/>
        <color auto="1"/>
        <name val="Consolas"/>
        <family val="3"/>
        <scheme val="none"/>
      </font>
      <numFmt numFmtId="0" formatCode="General"/>
    </dxf>
  </rfmt>
  <rfmt sheetId="5" s="1" sqref="O102" start="0" length="0">
    <dxf>
      <font>
        <b val="0"/>
        <sz val="8"/>
        <color auto="1"/>
        <name val="Consolas"/>
        <family val="3"/>
        <scheme val="none"/>
      </font>
      <numFmt numFmtId="0" formatCode="General"/>
    </dxf>
  </rfmt>
  <rfmt sheetId="5" sqref="P102" start="0" length="0">
    <dxf>
      <font>
        <b val="0"/>
        <sz val="8"/>
        <name val="Consolas"/>
        <family val="3"/>
      </font>
    </dxf>
  </rfmt>
  <rfmt sheetId="5" sqref="Q102" start="0" length="0">
    <dxf>
      <font>
        <b val="0"/>
        <sz val="8"/>
        <name val="Consolas"/>
        <family val="3"/>
      </font>
    </dxf>
  </rfmt>
  <rcc rId="3979" sId="5" odxf="1" dxf="1">
    <nc r="A103">
      <f>+'1-10'!C123</f>
    </nc>
    <odxf>
      <font>
        <b/>
        <sz val="8"/>
        <name val="Consolas"/>
        <family val="3"/>
      </font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b val="0"/>
        <sz val="7"/>
        <name val="Consolas"/>
        <family val="3"/>
      </font>
      <fill>
        <patternFill patternType="solid">
          <bgColor rgb="FFFFFF00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80" sId="5" odxf="1" dxf="1">
    <nc r="B103">
      <f>+'1-10'!R123</f>
    </nc>
    <odxf>
      <font>
        <b/>
        <sz val="8"/>
        <name val="Consolas"/>
        <family val="3"/>
      </font>
      <fill>
        <patternFill patternType="none">
          <bgColor indexed="65"/>
        </patternFill>
      </fill>
      <border outline="0">
        <left/>
        <top/>
        <bottom/>
      </border>
    </odxf>
    <ndxf>
      <font>
        <b val="0"/>
        <sz val="8"/>
        <name val="Consolas"/>
        <family val="3"/>
      </font>
      <fill>
        <patternFill patternType="solid">
          <bgColor rgb="FFFFFF00"/>
        </patternFill>
      </fill>
      <border outline="0">
        <left style="medium">
          <color indexed="64"/>
        </left>
        <top style="medium">
          <color indexed="64"/>
        </top>
        <bottom style="medium">
          <color indexed="64"/>
        </bottom>
      </border>
    </ndxf>
  </rcc>
  <rcc rId="3981" sId="5" odxf="1" dxf="1">
    <nc r="C103" t="inlineStr">
      <is>
        <t>699</t>
      </is>
    </nc>
    <odxf>
      <font>
        <b/>
        <sz val="8"/>
        <name val="Consolas"/>
        <family val="3"/>
      </font>
      <numFmt numFmtId="0" formatCode="General"/>
      <fill>
        <patternFill patternType="none">
          <bgColor indexed="65"/>
        </patternFill>
      </fill>
      <alignment horizontal="center" vertical="top"/>
      <border outline="0">
        <left/>
        <right/>
        <top/>
        <bottom/>
      </border>
    </odxf>
    <ndxf>
      <font>
        <b val="0"/>
        <sz val="8"/>
        <color theme="1"/>
        <name val="Consolas"/>
        <family val="3"/>
      </font>
      <numFmt numFmtId="30" formatCode="@"/>
      <fill>
        <patternFill patternType="solid">
          <bgColor rgb="FFFFFF00"/>
        </patternFill>
      </fill>
      <alignment horizontal="general" vertical="bottom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3982" sId="5" odxf="1" dxf="1" numFmtId="4">
    <nc r="D103">
      <v>10000</v>
    </nc>
    <odxf>
      <font>
        <b/>
        <sz val="8"/>
        <name val="Consolas"/>
        <family val="3"/>
      </font>
      <border outline="0">
        <left/>
        <right/>
        <top/>
        <bottom/>
      </border>
    </odxf>
    <ndxf>
      <font>
        <b val="0"/>
        <sz val="8"/>
        <name val="Consolas"/>
        <family val="3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83" sId="5" odxf="1" dxf="1">
    <nc r="E103">
      <f>+D103/P103*(CALC!$A$4)</f>
    </nc>
    <odxf>
      <font>
        <b/>
        <sz val="8"/>
        <name val="Consolas"/>
        <family val="3"/>
      </font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b val="0"/>
        <sz val="8"/>
        <name val="Consolas"/>
        <family val="3"/>
      </font>
      <fill>
        <patternFill patternType="solid">
          <bgColor rgb="FF00B0F0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84" sId="5" odxf="1" dxf="1" numFmtId="34">
    <nc r="F103">
      <v>23400</v>
    </nc>
    <odxf>
      <font>
        <b/>
        <sz val="8"/>
        <name val="Consolas"/>
        <family val="3"/>
      </font>
      <border outline="0">
        <left/>
        <right/>
        <top/>
        <bottom/>
      </border>
    </odxf>
    <ndxf>
      <font>
        <b val="0"/>
        <sz val="8"/>
        <name val="Consolas"/>
        <family val="3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85" sId="5" odxf="1" dxf="1">
    <nc r="G103">
      <f>CALC!$A$22*(I103/CEM!I$146)</f>
    </nc>
    <odxf>
      <font>
        <b/>
        <sz val="8"/>
        <name val="Consolas"/>
        <family val="3"/>
      </font>
      <border outline="0">
        <left/>
        <right/>
        <top/>
        <bottom/>
      </border>
    </odxf>
    <ndxf>
      <font>
        <b val="0"/>
        <sz val="8"/>
        <name val="Consolas"/>
        <family val="3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86" sId="5" odxf="1" dxf="1">
    <nc r="H103">
      <f>140000</f>
    </nc>
    <odxf>
      <font>
        <b/>
        <sz val="8"/>
        <name val="Consolas"/>
        <family val="3"/>
      </font>
      <border outline="0">
        <left/>
        <right/>
        <top/>
        <bottom/>
      </border>
    </odxf>
    <ndxf>
      <font>
        <b val="0"/>
        <sz val="8"/>
        <name val="Consolas"/>
        <family val="3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87" sId="5" odxf="1" dxf="1" numFmtId="34">
    <nc r="I103">
      <v>97340.31</v>
    </nc>
    <odxf>
      <font>
        <b/>
        <sz val="8"/>
        <name val="Consolas"/>
        <family val="3"/>
      </font>
      <border outline="0">
        <left/>
        <right/>
        <top/>
        <bottom/>
      </border>
    </odxf>
    <ndxf>
      <font>
        <b val="0"/>
        <sz val="8"/>
        <name val="Consolas"/>
        <family val="3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5" sqref="J103" start="0" length="0">
    <dxf>
      <font>
        <b val="0"/>
        <sz val="8"/>
        <name val="Consolas"/>
        <family val="3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988" sId="5" odxf="1" dxf="1">
    <nc r="K103">
      <f>34158*1.06</f>
    </nc>
    <odxf>
      <font>
        <b/>
        <sz val="8"/>
        <name val="Consolas"/>
        <family val="3"/>
      </font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b val="0"/>
        <sz val="8"/>
        <name val="Consolas"/>
        <family val="3"/>
      </font>
      <fill>
        <patternFill patternType="solid">
          <bgColor rgb="FF7030A0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5" sqref="L103" start="0" length="0">
    <dxf>
      <font>
        <b val="0"/>
        <sz val="8"/>
        <name val="Consolas"/>
        <family val="3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989" sId="5" odxf="1" dxf="1">
    <nc r="M103">
      <f>SUM(E103:L103)</f>
    </nc>
    <odxf>
      <font>
        <b/>
        <sz val="8"/>
        <name val="Consolas"/>
        <family val="3"/>
      </font>
      <border outline="0">
        <left/>
        <right/>
        <top/>
        <bottom/>
      </border>
    </odxf>
    <ndxf>
      <font>
        <b val="0"/>
        <sz val="8"/>
        <name val="Consolas"/>
        <family val="3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90" sId="5" odxf="1" dxf="1">
    <nc r="N103">
      <f>M103/CALC!$A$8*CALC!$A$6</f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91" sId="5" odxf="1" dxf="1">
    <nc r="O103">
      <f>+M103+N103</f>
    </nc>
    <odxf>
      <font>
        <b/>
        <sz val="8"/>
        <name val="Consolas"/>
        <family val="3"/>
      </font>
      <border outline="0">
        <left/>
        <right/>
        <top/>
        <bottom/>
      </border>
    </odxf>
    <ndxf>
      <font>
        <b val="0"/>
        <sz val="8"/>
        <name val="Consolas"/>
        <family val="3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92" sId="5" odxf="1" dxf="1" numFmtId="34">
    <nc r="P103">
      <v>1.3</v>
    </nc>
    <odxf>
      <font>
        <b/>
        <sz val="8"/>
        <name val="Consolas"/>
        <family val="3"/>
      </font>
      <border outline="0">
        <left/>
        <top/>
        <bottom/>
      </border>
    </odxf>
    <ndxf>
      <font>
        <b val="0"/>
        <sz val="8"/>
        <name val="Consolas"/>
        <family val="3"/>
      </font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ndxf>
  </rcc>
  <rfmt sheetId="5" sqref="Q103" start="0" length="0">
    <dxf>
      <font>
        <b val="0"/>
        <sz val="8"/>
        <name val="Consolas"/>
        <family val="3"/>
      </font>
    </dxf>
  </rfmt>
  <rfmt sheetId="5" sqref="A104" start="0" length="0">
    <dxf>
      <font>
        <b val="0"/>
        <sz val="8"/>
        <name val="Consolas"/>
        <family val="3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B104" start="0" length="0">
    <dxf>
      <font>
        <b val="0"/>
        <sz val="8"/>
        <name val="Consolas"/>
        <family val="3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C104" start="0" length="0">
    <dxf>
      <font>
        <b val="0"/>
        <sz val="8"/>
        <name val="Consolas"/>
        <family val="3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D104" start="0" length="0">
    <dxf>
      <font>
        <b val="0"/>
        <sz val="8"/>
        <name val="Consolas"/>
        <family val="3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E104" start="0" length="0">
    <dxf>
      <font>
        <b val="0"/>
        <sz val="8"/>
        <name val="Consolas"/>
        <family val="3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F104" start="0" length="0">
    <dxf>
      <font>
        <b val="0"/>
        <sz val="8"/>
        <name val="Consolas"/>
        <family val="3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G104" start="0" length="0">
    <dxf>
      <font>
        <b val="0"/>
        <sz val="8"/>
        <name val="Consolas"/>
        <family val="3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H104" start="0" length="0">
    <dxf>
      <font>
        <b val="0"/>
        <sz val="8"/>
        <name val="Consolas"/>
        <family val="3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I104" start="0" length="0">
    <dxf>
      <font>
        <b val="0"/>
        <sz val="8"/>
        <name val="Consolas"/>
        <family val="3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J104" start="0" length="0">
    <dxf>
      <font>
        <b val="0"/>
        <sz val="8"/>
        <name val="Consolas"/>
        <family val="3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K104" start="0" length="0">
    <dxf>
      <font>
        <b val="0"/>
        <sz val="8"/>
        <name val="Consolas"/>
        <family val="3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L104" start="0" length="0">
    <dxf>
      <font>
        <b val="0"/>
        <sz val="8"/>
        <name val="Consolas"/>
        <family val="3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M104" start="0" length="0">
    <dxf>
      <font>
        <b val="0"/>
        <sz val="8"/>
        <name val="Consolas"/>
        <family val="3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N104" start="0" length="0">
    <dxf>
      <font>
        <b val="0"/>
        <sz val="8"/>
        <name val="Consolas"/>
        <family val="3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O104" start="0" length="0">
    <dxf>
      <font>
        <b val="0"/>
        <sz val="8"/>
        <name val="Consolas"/>
        <family val="3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P104" start="0" length="0">
    <dxf>
      <font>
        <b val="0"/>
        <sz val="8"/>
        <name val="Consolas"/>
        <family val="3"/>
      </font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</rfmt>
  <rfmt sheetId="5" sqref="Q104" start="0" length="0">
    <dxf>
      <font>
        <b val="0"/>
        <sz val="8"/>
        <name val="Consolas"/>
        <family val="3"/>
      </font>
    </dxf>
  </rfmt>
  <rfmt sheetId="5" sqref="A105" start="0" length="0">
    <dxf>
      <font>
        <b/>
        <sz val="8"/>
        <name val="Consolas"/>
        <family val="3"/>
      </font>
    </dxf>
  </rfmt>
  <rcc rId="3993" sId="5" odxf="1" dxf="1">
    <nc r="B105" t="inlineStr">
      <is>
        <t>TOTAL</t>
      </is>
    </nc>
    <odxf>
      <font>
        <b val="0"/>
        <sz val="8"/>
        <name val="Consolas"/>
        <family val="3"/>
      </font>
      <border outline="0">
        <left/>
        <right/>
        <top/>
        <bottom/>
      </border>
    </odxf>
    <ndxf>
      <font>
        <b/>
        <sz val="8"/>
        <name val="Consolas"/>
        <family val="3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5" sqref="C105" start="0" length="0">
    <dxf>
      <font>
        <b/>
        <sz val="8"/>
        <name val="Consolas"/>
        <family val="3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994" sId="5" odxf="1" dxf="1">
    <nc r="D105">
      <f>SUM(D103:D104)</f>
    </nc>
    <odxf>
      <font>
        <b val="0"/>
        <sz val="8"/>
        <name val="Consolas"/>
        <family val="3"/>
      </font>
      <border outline="0">
        <left/>
        <right/>
        <top/>
        <bottom/>
      </border>
    </odxf>
    <ndxf>
      <font>
        <b/>
        <sz val="8"/>
        <name val="Consolas"/>
        <family val="3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95" sId="5" odxf="1" s="1" dxf="1">
    <nc r="E105">
      <f>SUM(E103:E104)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onsolas"/>
        <family val="3"/>
        <scheme val="none"/>
      </font>
      <numFmt numFmtId="0" formatCode="General"/>
    </odxf>
    <ndxf>
      <font>
        <b/>
        <sz val="8"/>
        <color auto="1"/>
        <name val="Consolas"/>
        <family val="3"/>
        <scheme val="none"/>
      </font>
      <numFmt numFmtId="35" formatCode="_(* #,##0.00_);_(* \(#,##0.00\);_(* &quot;-&quot;??_);_(@_)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96" sId="5" odxf="1" s="1" dxf="1">
    <nc r="F105">
      <f>SUM(F103:F104)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onsolas"/>
        <family val="3"/>
        <scheme val="none"/>
      </font>
      <numFmt numFmtId="0" formatCode="General"/>
    </odxf>
    <ndxf>
      <font>
        <b/>
        <sz val="8"/>
        <color auto="1"/>
        <name val="Consolas"/>
        <family val="3"/>
        <scheme val="none"/>
      </font>
      <numFmt numFmtId="35" formatCode="_(* #,##0.00_);_(* \(#,##0.00\);_(* &quot;-&quot;??_);_(@_)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97" sId="5" odxf="1" s="1" dxf="1">
    <nc r="G105">
      <f>SUM(G103:G104)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onsolas"/>
        <family val="3"/>
        <scheme val="none"/>
      </font>
      <numFmt numFmtId="0" formatCode="General"/>
    </odxf>
    <ndxf>
      <font>
        <b/>
        <sz val="8"/>
        <color auto="1"/>
        <name val="Consolas"/>
        <family val="3"/>
        <scheme val="none"/>
      </font>
      <numFmt numFmtId="35" formatCode="_(* #,##0.00_);_(* \(#,##0.00\);_(* &quot;-&quot;??_);_(@_)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98" sId="5" odxf="1" s="1" dxf="1">
    <nc r="H105">
      <f>SUM(H103:H104)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onsolas"/>
        <family val="3"/>
        <scheme val="none"/>
      </font>
      <numFmt numFmtId="0" formatCode="General"/>
    </odxf>
    <ndxf>
      <font>
        <b/>
        <sz val="8"/>
        <color auto="1"/>
        <name val="Consolas"/>
        <family val="3"/>
        <scheme val="none"/>
      </font>
      <numFmt numFmtId="35" formatCode="_(* #,##0.00_);_(* \(#,##0.00\);_(* &quot;-&quot;??_);_(@_)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99" sId="5" odxf="1" s="1" dxf="1">
    <nc r="I105">
      <f>SUM(I103:I104)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onsolas"/>
        <family val="3"/>
        <scheme val="none"/>
      </font>
      <numFmt numFmtId="0" formatCode="General"/>
    </odxf>
    <ndxf>
      <font>
        <b/>
        <sz val="8"/>
        <color auto="1"/>
        <name val="Consolas"/>
        <family val="3"/>
        <scheme val="none"/>
      </font>
      <numFmt numFmtId="35" formatCode="_(* #,##0.00_);_(* \(#,##0.00\);_(* &quot;-&quot;??_);_(@_)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00" sId="5" odxf="1" s="1" dxf="1">
    <nc r="J105">
      <f>SUM(J103:J104)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onsolas"/>
        <family val="3"/>
        <scheme val="none"/>
      </font>
      <numFmt numFmtId="0" formatCode="General"/>
    </odxf>
    <ndxf>
      <font>
        <b/>
        <sz val="8"/>
        <color auto="1"/>
        <name val="Consolas"/>
        <family val="3"/>
        <scheme val="none"/>
      </font>
      <numFmt numFmtId="35" formatCode="_(* #,##0.00_);_(* \(#,##0.00\);_(* &quot;-&quot;??_);_(@_)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01" sId="5" odxf="1" s="1" dxf="1">
    <nc r="K105">
      <f>SUM(K103:K104)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onsolas"/>
        <family val="3"/>
        <scheme val="none"/>
      </font>
      <numFmt numFmtId="0" formatCode="General"/>
    </odxf>
    <ndxf>
      <font>
        <b/>
        <sz val="8"/>
        <color auto="1"/>
        <name val="Consolas"/>
        <family val="3"/>
        <scheme val="none"/>
      </font>
      <numFmt numFmtId="35" formatCode="_(* #,##0.00_);_(* \(#,##0.00\);_(* &quot;-&quot;??_);_(@_)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02" sId="5" odxf="1" s="1" dxf="1">
    <nc r="L105">
      <f>+L103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onsolas"/>
        <family val="3"/>
        <scheme val="none"/>
      </font>
      <numFmt numFmtId="0" formatCode="General"/>
    </odxf>
    <ndxf>
      <font>
        <b/>
        <sz val="8"/>
        <color auto="1"/>
        <name val="Consolas"/>
        <family val="3"/>
        <scheme val="none"/>
      </font>
      <numFmt numFmtId="35" formatCode="_(* #,##0.00_);_(* \(#,##0.00\);_(* &quot;-&quot;??_);_(@_)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03" sId="5" odxf="1" s="1" dxf="1">
    <nc r="M105">
      <f>SUM(M103:M104)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onsolas"/>
        <family val="3"/>
        <scheme val="none"/>
      </font>
      <numFmt numFmtId="0" formatCode="General"/>
    </odxf>
    <ndxf>
      <font>
        <b/>
        <sz val="8"/>
        <color auto="1"/>
        <name val="Consolas"/>
        <family val="3"/>
        <scheme val="none"/>
      </font>
      <numFmt numFmtId="35" formatCode="_(* #,##0.00_);_(* \(#,##0.00\);_(* &quot;-&quot;??_);_(@_)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04" sId="5" odxf="1" s="1" dxf="1">
    <nc r="N105">
      <f>M105/CALC!$A$8*CALC!$A$6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onsolas"/>
        <family val="3"/>
        <scheme val="none"/>
      </font>
      <numFmt numFmtId="0" formatCode="General"/>
    </odxf>
    <ndxf>
      <font>
        <b/>
        <sz val="8"/>
        <color auto="1"/>
        <name val="Consolas"/>
        <family val="3"/>
        <scheme val="none"/>
      </font>
      <numFmt numFmtId="35" formatCode="_(* #,##0.00_);_(* \(#,##0.00\);_(* &quot;-&quot;??_);_(@_)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05" sId="5" odxf="1" s="1" dxf="1">
    <nc r="O105">
      <f>+M105+N105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onsolas"/>
        <family val="3"/>
        <scheme val="none"/>
      </font>
      <numFmt numFmtId="0" formatCode="General"/>
    </odxf>
    <ndxf>
      <font>
        <b/>
        <sz val="8"/>
        <color auto="1"/>
        <name val="Consolas"/>
        <family val="3"/>
        <scheme val="none"/>
      </font>
      <numFmt numFmtId="35" formatCode="_(* #,##0.00_);_(* \(#,##0.00\);_(* &quot;-&quot;??_);_(@_)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5" sqref="P105" start="0" length="0">
    <dxf>
      <font>
        <b/>
        <sz val="8"/>
        <name val="Consolas"/>
        <family val="3"/>
      </font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</rfmt>
  <rcc rId="4006" sId="5" odxf="1" dxf="1">
    <nc r="Q105">
      <f>(+O105/D105)*(1+CALC!$A$3)</f>
    </nc>
    <odxf>
      <font>
        <b val="0"/>
        <sz val="8"/>
        <name val="Consolas"/>
        <family val="3"/>
      </font>
      <fill>
        <patternFill patternType="none">
          <bgColor indexed="65"/>
        </patternFill>
      </fill>
    </odxf>
    <ndxf>
      <font>
        <b/>
        <sz val="8"/>
        <name val="Consolas"/>
        <family val="3"/>
      </font>
      <fill>
        <patternFill patternType="solid">
          <bgColor theme="6" tint="0.79998168889431442"/>
        </patternFill>
      </fill>
    </ndxf>
  </rcc>
  <rcc rId="4007" sId="5">
    <nc r="A98" t="inlineStr">
      <is>
        <t>Generator Hoof gebou</t>
      </is>
    </nc>
  </rcc>
  <rcc rId="4008" sId="5" numFmtId="4">
    <nc r="D98">
      <v>2000</v>
    </nc>
  </rcc>
  <rcc rId="4009" sId="5">
    <nc r="E98">
      <f>+D98*P98*(CALC!$A$4)</f>
    </nc>
  </rcc>
  <rcc rId="4010" sId="5" numFmtId="34">
    <nc r="H98">
      <v>30000</v>
    </nc>
  </rcc>
  <rcc rId="4011" sId="5" numFmtId="34">
    <nc r="P98">
      <v>35</v>
    </nc>
  </rcc>
</revisions>
</file>

<file path=xl/revisions/revisionLog1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012" sId="5">
    <oc r="C98" t="inlineStr">
      <is>
        <t>699</t>
      </is>
    </oc>
    <nc r="C98"/>
  </rcc>
  <rcc rId="4013" sId="5" numFmtId="34">
    <oc r="P98">
      <v>35</v>
    </oc>
    <nc r="P98">
      <v>30</v>
    </nc>
  </rcc>
  <rcc rId="4014" sId="5">
    <oc r="A103">
      <f>+'1-10'!C123</f>
    </oc>
    <nc r="A103" t="inlineStr">
      <is>
        <t>Nuwe Voertuie</t>
      </is>
    </nc>
  </rcc>
  <rcc rId="4015" sId="5">
    <oc r="B103">
      <f>+'1-10'!R123</f>
    </oc>
    <nc r="B103"/>
  </rcc>
  <rcc rId="4016" sId="5">
    <oc r="B98">
      <f>+'1-10'!R118</f>
    </oc>
    <nc r="B98"/>
  </rcc>
  <rcc rId="4017" sId="5">
    <oc r="C103" t="inlineStr">
      <is>
        <t>699</t>
      </is>
    </oc>
    <nc r="C103"/>
  </rcc>
  <rcc rId="4018" sId="5" numFmtId="4">
    <oc r="D103">
      <v>10000</v>
    </oc>
    <nc r="D103"/>
  </rcc>
  <rcc rId="4019" sId="5">
    <oc r="E103">
      <f>+D103/P103*(CALC!$A$4)</f>
    </oc>
    <nc r="E103"/>
  </rcc>
  <rcc rId="4020" sId="5" numFmtId="34">
    <oc r="F103">
      <v>23400</v>
    </oc>
    <nc r="F103"/>
  </rcc>
  <rcc rId="4021" sId="5">
    <oc r="G103">
      <f>CALC!$A$22*(I103/CEM!I$146)</f>
    </oc>
    <nc r="G103"/>
  </rcc>
  <rcc rId="4022" sId="5" numFmtId="34">
    <oc r="I103">
      <v>97340.31</v>
    </oc>
    <nc r="I103"/>
  </rcc>
  <rcc rId="4023" sId="5" numFmtId="34">
    <oc r="K103">
      <f>34158*1.06</f>
    </oc>
    <nc r="K103">
      <v>25000</v>
    </nc>
  </rcc>
  <rcc rId="4024" sId="5" numFmtId="34">
    <nc r="J103">
      <v>4000000</v>
    </nc>
  </rcc>
  <rfmt sheetId="5" s="1" sqref="E107" start="0" length="0">
    <dxf>
      <numFmt numFmtId="167" formatCode="#,##0;[Red]#,##0"/>
    </dxf>
  </rfmt>
  <rfmt sheetId="5" s="1" sqref="F107" start="0" length="0">
    <dxf>
      <numFmt numFmtId="167" formatCode="#,##0;[Red]#,##0"/>
    </dxf>
  </rfmt>
  <rfmt sheetId="5" s="1" sqref="G107" start="0" length="0">
    <dxf>
      <numFmt numFmtId="167" formatCode="#,##0;[Red]#,##0"/>
    </dxf>
  </rfmt>
  <rfmt sheetId="5" s="1" sqref="H107" start="0" length="0">
    <dxf>
      <numFmt numFmtId="167" formatCode="#,##0;[Red]#,##0"/>
    </dxf>
  </rfmt>
  <rfmt sheetId="5" s="1" sqref="I107" start="0" length="0">
    <dxf>
      <numFmt numFmtId="167" formatCode="#,##0;[Red]#,##0"/>
    </dxf>
  </rfmt>
  <rfmt sheetId="5" s="1" sqref="J107" start="0" length="0">
    <dxf>
      <numFmt numFmtId="167" formatCode="#,##0;[Red]#,##0"/>
    </dxf>
  </rfmt>
  <rfmt sheetId="5" s="1" sqref="K107" start="0" length="0">
    <dxf>
      <numFmt numFmtId="167" formatCode="#,##0;[Red]#,##0"/>
    </dxf>
  </rfmt>
  <rfmt sheetId="5" s="1" sqref="L107" start="0" length="0">
    <dxf>
      <numFmt numFmtId="167" formatCode="#,##0;[Red]#,##0"/>
    </dxf>
  </rfmt>
  <rfmt sheetId="5" s="1" sqref="M107" start="0" length="0">
    <dxf>
      <numFmt numFmtId="167" formatCode="#,##0;[Red]#,##0"/>
    </dxf>
  </rfmt>
  <rfmt sheetId="5" s="1" sqref="N107" start="0" length="0">
    <dxf>
      <numFmt numFmtId="167" formatCode="#,##0;[Red]#,##0"/>
    </dxf>
  </rfmt>
  <rfmt sheetId="5" s="1" sqref="O107" start="0" length="0">
    <dxf>
      <numFmt numFmtId="167" formatCode="#,##0;[Red]#,##0"/>
    </dxf>
  </rfmt>
  <rcc rId="4025" sId="5">
    <oc r="D110">
      <f>+D9+D24+D48+D54+D61+D69+D76+D82</f>
    </oc>
    <nc r="D110">
      <f>D107</f>
    </nc>
  </rcc>
  <rcc rId="4026" sId="5">
    <oc r="E110">
      <f>+E9+E24+E48+E54+E61+E69+E76+E82</f>
    </oc>
    <nc r="E110">
      <f>E107</f>
    </nc>
  </rcc>
  <rcc rId="4027" sId="5">
    <oc r="F110">
      <f>+F54+F61+F94</f>
    </oc>
    <nc r="F110">
      <f>F107</f>
    </nc>
  </rcc>
  <rcc rId="4028" sId="5">
    <oc r="G110">
      <f>+G9+G24+G48+G54+G61+G69+G76+G82+G94</f>
    </oc>
    <nc r="G110">
      <f>G107</f>
    </nc>
  </rcc>
  <rcc rId="4029" sId="5">
    <oc r="H110">
      <f>+H9+H24+H48+H54+H61+H69+H76+H82+H94</f>
    </oc>
    <nc r="H110">
      <f>H107</f>
    </nc>
  </rcc>
  <rcc rId="4030" sId="5">
    <oc r="I110">
      <f>+I9+I24+I48+I54+I61+I69+I76+I82+I94</f>
    </oc>
    <nc r="I110">
      <f>I107</f>
    </nc>
  </rcc>
  <rcc rId="4031" sId="5">
    <oc r="J110">
      <f>+J9+J24+J48+J54+J61+J69+J76+J82+J94</f>
    </oc>
    <nc r="J110">
      <f>J107</f>
    </nc>
  </rcc>
  <rcc rId="4032" sId="5">
    <oc r="K110">
      <f>+K9+K24+K48+K54+K61+K69+K76+K82+K94</f>
    </oc>
    <nc r="K110">
      <f>K107</f>
    </nc>
  </rcc>
  <rcc rId="4033" sId="5">
    <oc r="L110">
      <f>+L9+L24+L48+L54+L61+L69+L76+L82+L94</f>
    </oc>
    <nc r="L110">
      <f>L107</f>
    </nc>
  </rcc>
  <rcc rId="4034" sId="5">
    <oc r="M110">
      <f>+M9+M24+M48+M54+M61+M69+M76+M82+M94</f>
    </oc>
    <nc r="M110">
      <f>M107</f>
    </nc>
  </rcc>
  <rcc rId="4035" sId="5">
    <oc r="N110">
      <f>+N9+N24+N48+N54+N61+N69+N76+N82+N94</f>
    </oc>
    <nc r="N110">
      <f>N107</f>
    </nc>
  </rcc>
  <rcc rId="4036" sId="5">
    <oc r="O110">
      <f>+O9+O24+O48+O54+O61+O69+O76+O82+O94</f>
    </oc>
    <nc r="O110">
      <f>O107</f>
    </nc>
  </rcc>
  <rcc rId="4037" sId="5">
    <oc r="G107">
      <f>+G9+G24+G48+G54+G61+G69+G76+G94+G82</f>
    </oc>
    <nc r="G107">
      <f>+G9+G24+G48+G54+G61+G69+G76+G94+G82+G100+G105</f>
    </nc>
  </rcc>
  <rcc rId="4038" sId="5">
    <oc r="H107">
      <f>+H9+H24+H48+H54+H61+H69+H76+H94+H82</f>
    </oc>
    <nc r="H107">
      <f>+H9+H24+H48+H54+H61+H69+H76+H94+H82+H100+H105</f>
    </nc>
  </rcc>
  <rcc rId="4039" sId="5">
    <oc r="I107">
      <f>+I9+I24+I48+I54+I61+I69+I76+I94+I82</f>
    </oc>
    <nc r="I107">
      <f>+I9+I24+I48+I54+I61+I69+I76+I94+I82+I100+I105</f>
    </nc>
  </rcc>
  <rcc rId="4040" sId="5">
    <oc r="J107">
      <f>+J9+J24+J48+J54+J61+J69+J76+J94+J82</f>
    </oc>
    <nc r="J107">
      <f>+J9+J24+J48+J54+J61+J69+J76+J94+J82+J100+J105</f>
    </nc>
  </rcc>
  <rcc rId="4041" sId="5">
    <oc r="K107">
      <f>+K9+K24+K48+K54+K61+K69+K76+K94+K82</f>
    </oc>
    <nc r="K107">
      <f>+K9+K24+K48+K54+K61+K69+K76+K94+K82+K100+K105</f>
    </nc>
  </rcc>
  <rcc rId="4042" sId="5">
    <oc r="L107">
      <f>+L9+L24+L48+L54+L61+L69+L76+L94+L82</f>
    </oc>
    <nc r="L107">
      <f>+L9+L24+L48+L54+L61+L69+L76+L94+L82+L100+L105</f>
    </nc>
  </rcc>
  <rcc rId="4043" sId="5">
    <oc r="M107">
      <f>+M9+M24+M48+M54+M61+M69+M76+M94+M82</f>
    </oc>
    <nc r="M107">
      <f>+M9+M24+M48+M54+M61+M69+M76+M94+M82+M100+M105</f>
    </nc>
  </rcc>
  <rcc rId="4044" sId="5">
    <oc r="N107">
      <f>+N9+N24+N48+N54+N61+N69+N76+N94+N82</f>
    </oc>
    <nc r="N107">
      <f>+N9+N24+N48+N54+N61+N69+N76+N94+N82+N100+N105</f>
    </nc>
  </rcc>
  <rcc rId="4045" sId="5">
    <oc r="O107">
      <f>+O9+O24+O48+O54+O61+O69+O76+O94+O82</f>
    </oc>
    <nc r="O107">
      <f>+O9+O24+O48+O54+O61+O69+O76+O94+O82+O100+O105</f>
    </nc>
  </rcc>
  <rcc rId="4046" sId="5">
    <oc r="D107">
      <f>+D9+D24+D48+D54+D61+D69+D76+D94+D82</f>
    </oc>
    <nc r="D107">
      <f>+D9+D24+D48+D54+D61+D69+D76+D94+D82+D100+D105</f>
    </nc>
  </rcc>
  <rcc rId="4047" sId="5">
    <oc r="E107">
      <f>+E9+E24+E48+E54+E61+E69+E76+E94+E82</f>
    </oc>
    <nc r="E107">
      <f>+E9+E24+E48+E54+E61+E69+E76+E94+E82+E100+E105</f>
    </nc>
  </rcc>
  <rcc rId="4048" sId="5">
    <oc r="F107">
      <f>+F9+F24+F48+F54+F61+F69+F76+F94+F82</f>
    </oc>
    <nc r="F107">
      <f>+F9+F24+F48+F54+F61+F69+F76+F94+F82+F100+F105</f>
    </nc>
  </rcc>
</revisions>
</file>

<file path=xl/revisions/revisionLog1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049" sId="6">
    <oc r="A119" t="inlineStr">
      <is>
        <t>POLE TRAILER</t>
      </is>
    </oc>
    <nc r="A119" t="inlineStr">
      <is>
        <t>POLE TRAILER DKX038N</t>
      </is>
    </nc>
  </rcc>
  <rfmt sheetId="6" sqref="K119">
    <dxf>
      <fill>
        <patternFill>
          <bgColor rgb="FF7030A0"/>
        </patternFill>
      </fill>
    </dxf>
  </rfmt>
  <rcc rId="4050" sId="6">
    <oc r="B119" t="inlineStr">
      <is>
        <t>DKX 038 N [063]</t>
      </is>
    </oc>
    <nc r="B119" t="inlineStr">
      <is>
        <t>DMY 811 L [063]</t>
      </is>
    </nc>
  </rcc>
</revisions>
</file>

<file path=xl/revisions/revisionLog1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051" sId="5">
    <oc r="A59" t="inlineStr">
      <is>
        <t>JCB</t>
      </is>
    </oc>
    <nc r="A59" t="inlineStr">
      <is>
        <t>JCB  DJH087N</t>
      </is>
    </nc>
  </rcc>
  <rcc rId="4052" sId="5">
    <oc r="B59" t="inlineStr">
      <is>
        <t>DJH 087 N</t>
      </is>
    </oc>
    <nc r="B59" t="inlineStr">
      <is>
        <t>DMY 721 L</t>
      </is>
    </nc>
  </rcc>
  <rfmt sheetId="5" sqref="K59">
    <dxf>
      <fill>
        <patternFill>
          <bgColor rgb="FF7030A0"/>
        </patternFill>
      </fill>
    </dxf>
  </rfmt>
  <rcc rId="4053" sId="6">
    <oc r="A109" t="inlineStr">
      <is>
        <t>NEW HOLLAND</t>
      </is>
    </oc>
    <nc r="A109" t="inlineStr">
      <is>
        <t>NEW HOLLAND DWD351N</t>
      </is>
    </nc>
  </rcc>
  <rcc rId="4054" sId="6">
    <oc r="B109" t="inlineStr">
      <is>
        <t>DWD 351 N</t>
      </is>
    </oc>
    <nc r="B109" t="inlineStr">
      <is>
        <t>DMY 724 L</t>
      </is>
    </nc>
  </rcc>
  <rfmt sheetId="6" sqref="K109">
    <dxf>
      <fill>
        <patternFill>
          <bgColor rgb="FF7030A0"/>
        </patternFill>
      </fill>
    </dxf>
  </rfmt>
</revisions>
</file>

<file path=xl/revisions/revisionLog1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055" sId="5">
    <oc r="A92" t="inlineStr">
      <is>
        <t>FLAT DECK - SPIDER</t>
      </is>
    </oc>
    <nc r="A92" t="inlineStr">
      <is>
        <t>FLAT DECK - SPIDER DXV047N</t>
      </is>
    </nc>
  </rcc>
  <rcc rId="4056" sId="5">
    <oc r="B92" t="inlineStr">
      <is>
        <t>DXV 047 N</t>
      </is>
    </oc>
    <nc r="B92" t="inlineStr">
      <is>
        <t>DMY 705 L</t>
      </is>
    </nc>
  </rcc>
  <rfmt sheetId="5" sqref="K92">
    <dxf>
      <fill>
        <patternFill>
          <bgColor rgb="FF7030A0"/>
        </patternFill>
      </fill>
    </dxf>
  </rfmt>
</revisions>
</file>

<file path=xl/revisions/revisionLog1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4" sqref="K47">
    <dxf>
      <fill>
        <patternFill>
          <bgColor rgb="FF7030A0"/>
        </patternFill>
      </fill>
    </dxf>
  </rfmt>
  <rcc rId="4057" sId="4">
    <oc r="A47" t="inlineStr">
      <is>
        <t>DJY 946 N</t>
      </is>
    </oc>
    <nc r="A47" t="inlineStr">
      <is>
        <t>DMY 735 L</t>
      </is>
    </nc>
  </rcc>
  <rcc rId="4058" sId="4">
    <oc r="B47" t="inlineStr">
      <is>
        <t>TRAILER</t>
      </is>
    </oc>
    <nc r="B47" t="inlineStr">
      <is>
        <t xml:space="preserve"> Venter TRAILER DJY496N</t>
      </is>
    </nc>
  </rcc>
  <rcv guid="{DF69299D-7752-4436-A45D-28F739CEE21B}" action="delete"/>
  <rdn rId="0" localSheetId="1" customView="1" name="Z_DF69299D_7752_4436_A45D_28F739CEE21B_.wvu.PrintArea" hidden="1" oldHidden="1">
    <formula>mayor!$A$1:$Q$42</formula>
    <oldFormula>mayor!$A$1:$Q$42</oldFormula>
  </rdn>
  <rdn rId="0" localSheetId="1" customView="1" name="Z_DF69299D_7752_4436_A45D_28F739CEE21B_.wvu.Cols" hidden="1" oldHidden="1">
    <formula>mayor!$P:$P</formula>
    <oldFormula>mayor!$P:$P</oldFormula>
  </rdn>
  <rdn rId="0" localSheetId="1" customView="1" name="Z_DF69299D_7752_4436_A45D_28F739CEE21B_.wvu.FilterData" hidden="1" oldHidden="1">
    <formula>mayor!$A$16:$C$16</formula>
    <oldFormula>mayor!$A$16:$C$16</oldFormula>
  </rdn>
  <rdn rId="0" localSheetId="2" customView="1" name="Z_DF69299D_7752_4436_A45D_28F739CEE21B_.wvu.PrintArea" hidden="1" oldHidden="1">
    <formula>income!$A$1:$Q$16</formula>
    <oldFormula>income!$A$1:$Q$16</oldFormula>
  </rdn>
  <rdn rId="0" localSheetId="2" customView="1" name="Z_DF69299D_7752_4436_A45D_28F739CEE21B_.wvu.Cols" hidden="1" oldHidden="1">
    <formula>income!$P:$P</formula>
    <oldFormula>income!$P:$P</oldFormula>
  </rdn>
  <rdn rId="0" localSheetId="3" customView="1" name="Z_DF69299D_7752_4436_A45D_28F739CEE21B_.wvu.PrintArea" hidden="1" oldHidden="1">
    <formula>workshop!$A$1:$Q$20</formula>
    <oldFormula>workshop!$A$1:$Q$20</oldFormula>
  </rdn>
  <rdn rId="0" localSheetId="3" customView="1" name="Z_DF69299D_7752_4436_A45D_28F739CEE21B_.wvu.Cols" hidden="1" oldHidden="1">
    <formula>workshop!$J:$J,workshop!$P:$P</formula>
    <oldFormula>workshop!$J:$J,workshop!$P:$P</oldFormula>
  </rdn>
  <rdn rId="0" localSheetId="4" customView="1" name="Z_DF69299D_7752_4436_A45D_28F739CEE21B_.wvu.PrintArea" hidden="1" oldHidden="1">
    <formula>'COMMUNITY SERV'!$A$1:$Q$103</formula>
    <oldFormula>'COMMUNITY SERV'!$A$1:$Q$103</oldFormula>
  </rdn>
  <rdn rId="0" localSheetId="5" customView="1" name="Z_DF69299D_7752_4436_A45D_28F739CEE21B_.wvu.PrintArea" hidden="1" oldHidden="1">
    <formula>EEM!$A$1:$Q$107</formula>
    <oldFormula>EEM!$A$1:$Q$107</oldFormula>
  </rdn>
  <rdn rId="0" localSheetId="6" customView="1" name="Z_DF69299D_7752_4436_A45D_28F739CEE21B_.wvu.PrintArea" hidden="1" oldHidden="1">
    <formula>CEM!$A$1:$Q$146</formula>
    <oldFormula>CEM!$A$1:$Q$146</oldFormula>
  </rdn>
  <rdn rId="0" localSheetId="6" customView="1" name="Z_DF69299D_7752_4436_A45D_28F739CEE21B_.wvu.Rows" hidden="1" oldHidden="1">
    <formula>CEM!$141:$141</formula>
    <oldFormula>CEM!$141:$141</oldFormula>
  </rdn>
  <rdn rId="0" localSheetId="6" customView="1" name="Z_DF69299D_7752_4436_A45D_28F739CEE21B_.wvu.Cols" hidden="1" oldHidden="1">
    <formula>CEM!$P:$P</formula>
    <oldFormula>CEM!$P:$P</oldFormula>
  </rdn>
  <rdn rId="0" localSheetId="7" customView="1" name="Z_DF69299D_7752_4436_A45D_28F739CEE21B_.wvu.PrintArea" hidden="1" oldHidden="1">
    <formula>MDC!$A$1:$Q$99</formula>
    <oldFormula>MDC!$A$1:$Q$99</oldFormula>
  </rdn>
  <rdn rId="0" localSheetId="7" customView="1" name="Z_DF69299D_7752_4436_A45D_28F739CEE21B_.wvu.Rows" hidden="1" oldHidden="1">
    <formula>MDC!$67:$73</formula>
    <oldFormula>MDC!$67:$73</oldFormula>
  </rdn>
  <rdn rId="0" localSheetId="7" customView="1" name="Z_DF69299D_7752_4436_A45D_28F739CEE21B_.wvu.Cols" hidden="1" oldHidden="1">
    <formula>MDC!$J:$J,MDC!$P:$P</formula>
    <oldFormula>MDC!$J:$J,MDC!$P:$P</oldFormula>
  </rdn>
  <rdn rId="0" localSheetId="8" customView="1" name="Z_DF69299D_7752_4436_A45D_28F739CEE21B_.wvu.PrintArea" hidden="1" oldHidden="1">
    <formula>BUDGET!$A$1:$B$76</formula>
    <oldFormula>BUDGET!$A$1:$B$76</oldFormula>
  </rdn>
  <rdn rId="0" localSheetId="8" customView="1" name="Z_DF69299D_7752_4436_A45D_28F739CEE21B_.wvu.Rows" hidden="1" oldHidden="1">
    <formula>BUDGET!$3:$7,BUDGET!$9:$9,BUDGET!$11:$11,BUDGET!$13:$16,BUDGET!$18:$21,BUDGET!$23:$23,BUDGET!$25:$28,BUDGET!$30:$36,BUDGET!$38:$38,BUDGET!$40:$40,BUDGET!$42:$47,BUDGET!$49:$49,BUDGET!$51:$54,BUDGET!$56:$59,BUDGET!$61:$66,BUDGET!$68:$68,BUDGET!$70:$70</formula>
    <oldFormula>BUDGET!$3:$7,BUDGET!$9:$9,BUDGET!$11:$11,BUDGET!$13:$16,BUDGET!$18:$21,BUDGET!$23:$23,BUDGET!$25:$28,BUDGET!$30:$36,BUDGET!$38:$38,BUDGET!$40:$40,BUDGET!$42:$47,BUDGET!$49:$49,BUDGET!$51:$54,BUDGET!$56:$59,BUDGET!$61:$66,BUDGET!$68:$68,BUDGET!$70:$70</oldFormula>
  </rdn>
  <rdn rId="0" localSheetId="8" customView="1" name="Z_DF69299D_7752_4436_A45D_28F739CEE21B_.wvu.Cols" hidden="1" oldHidden="1">
    <formula>BUDGET!$C:$S</formula>
    <oldFormula>BUDGET!$C:$S</oldFormula>
  </rdn>
  <rdn rId="0" localSheetId="10" customView="1" name="Z_DF69299D_7752_4436_A45D_28F739CEE21B_.wvu.FilterData" hidden="1" oldHidden="1">
    <formula>orig!$A$1:$AN$198</formula>
    <oldFormula>orig!$A$1:$AN$198</oldFormula>
  </rdn>
  <rdn rId="0" localSheetId="11" customView="1" name="Z_DF69299D_7752_4436_A45D_28F739CEE21B_.wvu.Cols" hidden="1" oldHidden="1">
    <formula>'1-10'!$B:$B</formula>
    <oldFormula>'1-10'!$B:$B</oldFormula>
  </rdn>
  <rdn rId="0" localSheetId="11" customView="1" name="Z_DF69299D_7752_4436_A45D_28F739CEE21B_.wvu.FilterData" hidden="1" oldHidden="1">
    <formula>'1-10'!$A$1:$AY$100</formula>
    <oldFormula>'1-10'!$A$1:$AY$100</oldFormula>
  </rdn>
  <rdn rId="0" localSheetId="12" customView="1" name="Z_DF69299D_7752_4436_A45D_28F739CEE21B_.wvu.Rows" hidden="1" oldHidden="1">
    <formula>'new veh 2012'!$96:$97</formula>
    <oldFormula>'new veh 2012'!$96:$97</oldFormula>
  </rdn>
  <rdn rId="0" localSheetId="12" customView="1" name="Z_DF69299D_7752_4436_A45D_28F739CEE21B_.wvu.FilterData" hidden="1" oldHidden="1">
    <formula>'new veh 2012'!$A$1:$J$95</formula>
    <oldFormula>'new veh 2012'!$A$1:$J$95</oldFormula>
  </rdn>
  <rdn rId="0" localSheetId="14" customView="1" name="Z_DF69299D_7752_4436_A45D_28F739CEE21B_.wvu.FilterData" hidden="1" oldHidden="1">
    <formula>stbk!$A$1:$G$199</formula>
    <oldFormula>stbk!$A$1:$G$199</oldFormula>
  </rdn>
  <rcv guid="{DF69299D-7752-4436-A45D-28F739CEE21B}" action="add"/>
</revisions>
</file>

<file path=xl/revisions/revisionLog1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083" sId="7">
    <oc r="A50" t="inlineStr">
      <is>
        <t>JCB Autiond Nov 2023</t>
      </is>
    </oc>
    <nc r="A50" t="inlineStr">
      <is>
        <t>JCB Autiond Nov 2023 BCC135N</t>
      </is>
    </nc>
  </rcc>
  <rcc rId="4084" sId="7">
    <oc r="B50" t="inlineStr">
      <is>
        <t>BCC 135 N</t>
      </is>
    </oc>
    <nc r="B50" t="inlineStr">
      <is>
        <t>DMP 673 L</t>
      </is>
    </nc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7" sqref="A24:C24">
    <dxf>
      <fill>
        <patternFill patternType="solid">
          <bgColor rgb="FFFFFF00"/>
        </patternFill>
      </fill>
    </dxf>
  </rfmt>
  <rfmt sheetId="7" sqref="L25">
    <dxf>
      <fill>
        <patternFill patternType="solid">
          <bgColor rgb="FFC00000"/>
        </patternFill>
      </fill>
    </dxf>
  </rfmt>
  <rfmt sheetId="7" sqref="L25">
    <dxf>
      <fill>
        <patternFill>
          <bgColor rgb="FFFFFF00"/>
        </patternFill>
      </fill>
    </dxf>
  </rfmt>
  <rfmt sheetId="7" sqref="L25">
    <dxf>
      <fill>
        <patternFill>
          <bgColor rgb="FFC00000"/>
        </patternFill>
      </fill>
    </dxf>
  </rfmt>
  <rfmt sheetId="7" sqref="A23:C23">
    <dxf>
      <fill>
        <patternFill patternType="solid">
          <bgColor rgb="FFFFFF00"/>
        </patternFill>
      </fill>
    </dxf>
  </rfmt>
  <rfmt sheetId="6" sqref="A15:C15">
    <dxf>
      <fill>
        <patternFill patternType="solid">
          <bgColor rgb="FFFFFF00"/>
        </patternFill>
      </fill>
    </dxf>
  </rfmt>
  <rfmt sheetId="6" sqref="J15">
    <dxf>
      <fill>
        <patternFill patternType="solid">
          <bgColor rgb="FFC00000"/>
        </patternFill>
      </fill>
    </dxf>
  </rfmt>
  <rcc rId="2772" sId="6">
    <oc r="J21" t="inlineStr">
      <is>
        <t>Parks</t>
      </is>
    </oc>
    <nc r="J21"/>
  </rcc>
  <rcc rId="2773" sId="7">
    <oc r="L25">
      <f>SUM(L22:L24)</f>
    </oc>
    <nc r="L25"/>
  </rcc>
  <rcc rId="2774" sId="7">
    <oc r="L34" t="inlineStr">
      <is>
        <t>Roads</t>
      </is>
    </oc>
    <nc r="L34"/>
  </rcc>
  <rfmt sheetId="7" sqref="A10:C10">
    <dxf>
      <fill>
        <patternFill patternType="solid">
          <bgColor rgb="FFFFFF00"/>
        </patternFill>
      </fill>
    </dxf>
  </rfmt>
  <rfmt sheetId="7" sqref="A8:C8">
    <dxf>
      <fill>
        <patternFill patternType="solid">
          <bgColor rgb="FFFFFF00"/>
        </patternFill>
      </fill>
    </dxf>
  </rfmt>
  <rfmt sheetId="7" sqref="A7:C7">
    <dxf>
      <fill>
        <patternFill patternType="solid">
          <bgColor rgb="FFFFFF00"/>
        </patternFill>
      </fill>
    </dxf>
  </rfmt>
  <rfmt sheetId="7" sqref="A22:C22">
    <dxf>
      <fill>
        <patternFill patternType="solid">
          <bgColor rgb="FFFFFF00"/>
        </patternFill>
      </fill>
    </dxf>
  </rfmt>
  <rfmt sheetId="2" sqref="A9:C9">
    <dxf>
      <fill>
        <patternFill patternType="solid">
          <bgColor rgb="FFFFFF00"/>
        </patternFill>
      </fill>
    </dxf>
  </rfmt>
  <rfmt sheetId="2" sqref="J9">
    <dxf>
      <fill>
        <patternFill patternType="solid">
          <bgColor rgb="FFC00000"/>
        </patternFill>
      </fill>
    </dxf>
  </rfmt>
</revisions>
</file>

<file path=xl/revisions/revisionLog1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085" sId="6">
    <oc r="A94" t="inlineStr">
      <is>
        <t>JCB Auctioned Nov 2023</t>
      </is>
    </oc>
    <nc r="A94" t="inlineStr">
      <is>
        <t>JCB Auctioned Nov 2023 BCC136N</t>
      </is>
    </nc>
  </rcc>
  <rcc rId="4086" sId="6">
    <oc r="B94" t="inlineStr">
      <is>
        <t>BCC 136 N [063]</t>
      </is>
    </oc>
    <nc r="B94" t="inlineStr">
      <is>
        <t>DMP 676 L</t>
      </is>
    </nc>
  </rcc>
</revisions>
</file>

<file path=xl/revisions/revisionLog16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087" sId="6">
    <oc r="A95" t="inlineStr">
      <is>
        <t>JCB Auctioned Nov 2023</t>
      </is>
    </oc>
    <nc r="A95" t="inlineStr">
      <is>
        <t>JCB Auctioned Nov 2023 BCC137N</t>
      </is>
    </nc>
  </rcc>
  <rcc rId="4088" sId="6">
    <oc r="B95" t="inlineStr">
      <is>
        <t>BCC 137 N [063]</t>
      </is>
    </oc>
    <nc r="B95" t="inlineStr">
      <is>
        <t>DMY 861 L</t>
      </is>
    </nc>
  </rcc>
</revisions>
</file>

<file path=xl/revisions/revisionLog16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089" sId="6">
    <oc r="A110" t="inlineStr">
      <is>
        <t>FORD TRACTOR</t>
      </is>
    </oc>
    <nc r="A110" t="inlineStr">
      <is>
        <t>FORD TRACTOR DLG112N</t>
      </is>
    </nc>
  </rcc>
  <rcc rId="4090" sId="6">
    <oc r="B110" t="inlineStr">
      <is>
        <t>DLG 112 N [063]</t>
      </is>
    </oc>
    <nc r="B110" t="inlineStr">
      <is>
        <t>DMY 779 L</t>
      </is>
    </nc>
  </rcc>
  <rfmt sheetId="6" sqref="K110">
    <dxf>
      <fill>
        <patternFill>
          <bgColor rgb="FF7030A0"/>
        </patternFill>
      </fill>
    </dxf>
  </rfmt>
  <rfmt sheetId="6" sqref="K94:K95">
    <dxf>
      <fill>
        <patternFill>
          <bgColor rgb="FF7030A0"/>
        </patternFill>
      </fill>
    </dxf>
  </rfmt>
</revisions>
</file>

<file path=xl/revisions/revisionLog16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091" sId="6">
    <oc r="A120" t="inlineStr">
      <is>
        <t>POLE TRAILER</t>
      </is>
    </oc>
    <nc r="A120" t="inlineStr">
      <is>
        <t>POLE TRAILER DLV291N</t>
      </is>
    </nc>
  </rcc>
  <rcc rId="4092" sId="6">
    <oc r="B120" t="inlineStr">
      <is>
        <t>DLV 291 N [063]</t>
      </is>
    </oc>
    <nc r="B120" t="inlineStr">
      <is>
        <t>DMY 814 L</t>
      </is>
    </nc>
  </rcc>
</revisions>
</file>

<file path=xl/revisions/revisionLog16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6" sqref="K120">
    <dxf>
      <fill>
        <patternFill>
          <bgColor rgb="FF7030A0"/>
        </patternFill>
      </fill>
    </dxf>
  </rfmt>
</revisions>
</file>

<file path=xl/revisions/revisionLog16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093" sId="6">
    <oc r="A121" t="inlineStr">
      <is>
        <t>POLE TRAILER</t>
      </is>
    </oc>
    <nc r="A121" t="inlineStr">
      <is>
        <t>POLE TRAILER DKX039N</t>
      </is>
    </nc>
  </rcc>
  <rcc rId="4094" sId="6">
    <oc r="B121" t="inlineStr">
      <is>
        <t>DKX 039 N [063]</t>
      </is>
    </oc>
    <nc r="B121" t="inlineStr">
      <is>
        <t>DMY 808 L</t>
      </is>
    </nc>
  </rcc>
  <rfmt sheetId="6" sqref="K121">
    <dxf>
      <fill>
        <patternFill>
          <bgColor rgb="FF7030A0"/>
        </patternFill>
      </fill>
    </dxf>
  </rfmt>
</revisions>
</file>

<file path=xl/revisions/revisionLog16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095" sId="4">
    <oc r="B57" t="inlineStr">
      <is>
        <t>TRAILER</t>
      </is>
    </oc>
    <nc r="B57" t="inlineStr">
      <is>
        <t xml:space="preserve"> HERSOFAM DNR351N</t>
      </is>
    </nc>
  </rcc>
  <rcc rId="4096" sId="4">
    <oc r="A57" t="inlineStr">
      <is>
        <t>DNR 351 N [144]</t>
      </is>
    </oc>
    <nc r="A57" t="inlineStr">
      <is>
        <t>DMY 758 L</t>
      </is>
    </nc>
  </rcc>
  <rfmt sheetId="4" sqref="K57">
    <dxf>
      <fill>
        <patternFill>
          <bgColor rgb="FF7030A0"/>
        </patternFill>
      </fill>
    </dxf>
  </rfmt>
</revisions>
</file>

<file path=xl/revisions/revisionLog16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097" sId="4">
    <oc r="B44" t="inlineStr">
      <is>
        <t>WATERTANKER</t>
      </is>
    </oc>
    <nc r="B44" t="inlineStr">
      <is>
        <t>WATERTANKER DNR343N</t>
      </is>
    </nc>
  </rcc>
  <rcc rId="4098" sId="4">
    <oc r="A44" t="inlineStr">
      <is>
        <t>DNR 343 N</t>
      </is>
    </oc>
    <nc r="A44" t="inlineStr">
      <is>
        <t>DMY 815 L</t>
      </is>
    </nc>
  </rcc>
  <rfmt sheetId="4" sqref="K44">
    <dxf>
      <fill>
        <patternFill>
          <bgColor rgb="FF7030A0"/>
        </patternFill>
      </fill>
    </dxf>
  </rfmt>
</revisions>
</file>

<file path=xl/revisions/revisionLog16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099" sId="6">
    <oc r="A116" t="inlineStr">
      <is>
        <t>FERGUSON TRAILER</t>
      </is>
    </oc>
    <nc r="A116" t="inlineStr">
      <is>
        <t>FERGUSON TRAILER DKN793N</t>
      </is>
    </nc>
  </rcc>
  <rcc rId="4100" sId="6">
    <oc r="B116" t="inlineStr">
      <is>
        <t>DKN 793 N [063]</t>
      </is>
    </oc>
    <nc r="B116" t="inlineStr">
      <is>
        <t>DMY 797 L</t>
      </is>
    </nc>
  </rcc>
  <rfmt sheetId="6" sqref="K116">
    <dxf>
      <fill>
        <patternFill>
          <bgColor rgb="FF7030A0"/>
        </patternFill>
      </fill>
    </dxf>
  </rfmt>
</revisions>
</file>

<file path=xl/revisions/revisionLog16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01" sId="6">
    <oc r="A91" t="inlineStr">
      <is>
        <t>BOMAG TRAILER</t>
      </is>
    </oc>
    <nc r="A91" t="inlineStr">
      <is>
        <t>BOMAG TRAILER DNB899N</t>
      </is>
    </nc>
  </rcc>
  <rcc rId="4102" sId="6">
    <oc r="B91" t="inlineStr">
      <is>
        <t>DNB 899 N [063]</t>
      </is>
    </oc>
    <nc r="B91" t="inlineStr">
      <is>
        <t>DRG 008 L</t>
      </is>
    </nc>
  </rcc>
  <rfmt sheetId="6" sqref="K91">
    <dxf>
      <fill>
        <patternFill>
          <bgColor rgb="FF7030A0"/>
        </patternFill>
      </fill>
    </dxf>
  </rfmt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7" sqref="A14:C14">
    <dxf>
      <fill>
        <patternFill patternType="solid">
          <bgColor rgb="FFFFFF00"/>
        </patternFill>
      </fill>
    </dxf>
  </rfmt>
  <rfmt sheetId="7" sqref="A16:C16">
    <dxf>
      <fill>
        <patternFill patternType="solid">
          <bgColor rgb="FFFFFF00"/>
        </patternFill>
      </fill>
    </dxf>
  </rfmt>
  <rfmt sheetId="7" sqref="A9:C9">
    <dxf>
      <fill>
        <patternFill patternType="solid">
          <bgColor rgb="FFFFFF00"/>
        </patternFill>
      </fill>
    </dxf>
  </rfmt>
  <rfmt sheetId="6" sqref="A27:C27">
    <dxf>
      <fill>
        <patternFill patternType="solid">
          <bgColor rgb="FFFFFF00"/>
        </patternFill>
      </fill>
    </dxf>
  </rfmt>
</revisions>
</file>

<file path=xl/revisions/revisionLog17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03" sId="6">
    <oc r="A96" t="inlineStr">
      <is>
        <t>WRIGHT 120G Auctioned Nov 2022</t>
      </is>
    </oc>
    <nc r="A96" t="inlineStr">
      <is>
        <t>WRIGHT 120G Auctioned Nov 2022 DLG101N</t>
      </is>
    </nc>
  </rcc>
  <rcc rId="4104" sId="6">
    <oc r="B96" t="inlineStr">
      <is>
        <t>DLG 101 N [063]</t>
      </is>
    </oc>
    <nc r="B96" t="inlineStr">
      <is>
        <t>DMY 864 L</t>
      </is>
    </nc>
  </rcc>
</revisions>
</file>

<file path=xl/revisions/revisionLog17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05" sId="5">
    <oc r="A86" t="inlineStr">
      <is>
        <t>TRAILER</t>
      </is>
    </oc>
    <nc r="A86" t="inlineStr">
      <is>
        <t>TRAILER BAKRAK DLG)(*N</t>
      </is>
    </nc>
  </rcc>
  <rcc rId="4106" sId="5">
    <oc r="B86" t="inlineStr">
      <is>
        <t>DLG 098 N</t>
      </is>
    </oc>
    <nc r="B86" t="inlineStr">
      <is>
        <t>DMY 770 L</t>
      </is>
    </nc>
  </rcc>
  <rfmt sheetId="5" sqref="K86">
    <dxf>
      <fill>
        <patternFill>
          <bgColor rgb="FF7030A0"/>
        </patternFill>
      </fill>
    </dxf>
  </rfmt>
</revisions>
</file>

<file path=xl/revisions/revisionLog17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07" sId="5">
    <oc r="A87" t="inlineStr">
      <is>
        <t>TRAILER</t>
      </is>
    </oc>
    <nc r="A87" t="inlineStr">
      <is>
        <t>TRAILER DLF731N</t>
      </is>
    </nc>
  </rcc>
  <rcc rId="4108" sId="5">
    <oc r="B87" t="inlineStr">
      <is>
        <t>DLF 731 N</t>
      </is>
    </oc>
    <nc r="B87" t="inlineStr">
      <is>
        <t>DRP 368 L</t>
      </is>
    </nc>
  </rcc>
  <rcc rId="4109" sId="5">
    <oc r="A86" t="inlineStr">
      <is>
        <t>TRAILER BAKRAK DLG)(*N</t>
      </is>
    </oc>
    <nc r="A86" t="inlineStr">
      <is>
        <t>TRAILER BAKRAK DLG098N</t>
      </is>
    </nc>
  </rcc>
</revisions>
</file>

<file path=xl/revisions/revisionLog17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5" sqref="K87">
    <dxf>
      <fill>
        <patternFill>
          <bgColor rgb="FF7030A0"/>
        </patternFill>
      </fill>
    </dxf>
  </rfmt>
</revisions>
</file>

<file path=xl/revisions/revisionLog17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10" sId="6">
    <oc r="A87" t="inlineStr">
      <is>
        <t>ATLAS COPCO</t>
      </is>
    </oc>
    <nc r="A87" t="inlineStr">
      <is>
        <t>ATLAS COPCO DNB889N</t>
      </is>
    </nc>
  </rcc>
  <rcc rId="4111" sId="6">
    <oc r="B87" t="inlineStr">
      <is>
        <t>DNB 889 N [063]</t>
      </is>
    </oc>
    <nc r="B87" t="inlineStr">
      <is>
        <t>DMY 821 L</t>
      </is>
    </nc>
  </rcc>
  <rfmt sheetId="6" sqref="K87">
    <dxf>
      <fill>
        <patternFill>
          <bgColor rgb="FF7030A0"/>
        </patternFill>
      </fill>
    </dxf>
  </rfmt>
</revisions>
</file>

<file path=xl/revisions/revisionLog17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12" sId="6">
    <oc r="A97" t="inlineStr">
      <is>
        <t>BOMAG</t>
      </is>
    </oc>
    <nc r="A97" t="inlineStr">
      <is>
        <t>BOMAG DMS578N</t>
      </is>
    </nc>
  </rcc>
  <rcc rId="4113" sId="6">
    <oc r="B97" t="inlineStr">
      <is>
        <t>DMS 578 N [063]</t>
      </is>
    </oc>
    <nc r="B97" t="inlineStr">
      <is>
        <t>DMY 578 L</t>
      </is>
    </nc>
  </rcc>
  <rfmt sheetId="6" sqref="K97">
    <dxf>
      <fill>
        <patternFill>
          <bgColor rgb="FF7030A0"/>
        </patternFill>
      </fill>
    </dxf>
  </rfmt>
</revisions>
</file>

<file path=xl/revisions/revisionLog17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14" sId="6">
    <oc r="B97" t="inlineStr">
      <is>
        <t>DMY 578 L</t>
      </is>
    </oc>
    <nc r="B97" t="inlineStr">
      <is>
        <t>DMY 716 L</t>
      </is>
    </nc>
  </rcc>
</revisions>
</file>

<file path=xl/revisions/revisionLog17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15" sId="5">
    <oc r="A88" t="inlineStr">
      <is>
        <t>HERSOFAM</t>
      </is>
    </oc>
    <nc r="A88" t="inlineStr">
      <is>
        <t>HERSOFAM DNB893N</t>
      </is>
    </nc>
  </rcc>
  <rcc rId="4116" sId="5">
    <oc r="B88" t="inlineStr">
      <is>
        <t>DNB 893 N</t>
      </is>
    </oc>
    <nc r="B88" t="inlineStr">
      <is>
        <t>DDMY 773 L</t>
      </is>
    </nc>
  </rcc>
  <rfmt sheetId="5" sqref="K88">
    <dxf>
      <fill>
        <patternFill>
          <bgColor rgb="FF7030A0"/>
        </patternFill>
      </fill>
    </dxf>
  </rfmt>
</revisions>
</file>

<file path=xl/revisions/revisionLog17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17" sId="5">
    <oc r="B88" t="inlineStr">
      <is>
        <t>DDMY 773 L</t>
      </is>
    </oc>
    <nc r="B88" t="inlineStr">
      <is>
        <t>DMY 773 L</t>
      </is>
    </nc>
  </rcc>
</revisions>
</file>

<file path=xl/revisions/revisionLog17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18" sId="4">
    <oc r="B46" t="inlineStr">
      <is>
        <t>LAWNMOWER TRAIL</t>
      </is>
    </oc>
    <nc r="B46" t="inlineStr">
      <is>
        <t>LAWNMOWER TRAIL DMS582N</t>
      </is>
    </nc>
  </rcc>
  <rcc rId="4119" sId="4">
    <oc r="A46" t="inlineStr">
      <is>
        <t>DMS 582 N</t>
      </is>
    </oc>
    <nc r="A46" t="inlineStr">
      <is>
        <t>DMY 820 L</t>
      </is>
    </nc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7" sqref="A29:C29">
    <dxf>
      <fill>
        <patternFill patternType="solid">
          <bgColor rgb="FFFFFF00"/>
        </patternFill>
      </fill>
    </dxf>
  </rfmt>
  <rfmt sheetId="5" sqref="A17:C17">
    <dxf>
      <fill>
        <patternFill patternType="solid">
          <bgColor rgb="FFFFFF00"/>
        </patternFill>
      </fill>
    </dxf>
  </rfmt>
</revisions>
</file>

<file path=xl/revisions/revisionLog18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20" sId="6">
    <oc r="A92" t="inlineStr">
      <is>
        <t>VERMEER 620 BC</t>
      </is>
    </oc>
    <nc r="A92" t="inlineStr">
      <is>
        <t>VERMEER 620 BC DNP901N</t>
      </is>
    </nc>
  </rcc>
  <rcc rId="4121" sId="6">
    <oc r="B92" t="inlineStr">
      <is>
        <t>DNP 901 N [063]</t>
      </is>
    </oc>
    <nc r="B92" t="inlineStr">
      <is>
        <t>DTL 421 L</t>
      </is>
    </nc>
  </rcc>
  <rfmt sheetId="6" sqref="K92">
    <dxf>
      <fill>
        <patternFill>
          <bgColor rgb="FF7030A0"/>
        </patternFill>
      </fill>
    </dxf>
  </rfmt>
</revisions>
</file>

<file path=xl/revisions/revisionLog18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4" sqref="K46">
    <dxf>
      <fill>
        <patternFill>
          <bgColor rgb="FF7030A0"/>
        </patternFill>
      </fill>
    </dxf>
  </rfmt>
  <rcc rId="4122" sId="4">
    <oc r="A45" t="inlineStr">
      <is>
        <t>DMY  822 L</t>
      </is>
    </oc>
    <nc r="A45" t="inlineStr">
      <is>
        <t>DMY 822 L</t>
      </is>
    </nc>
  </rcc>
</revisions>
</file>

<file path=xl/revisions/revisionLog18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23" sId="5">
    <oc r="A89" t="inlineStr">
      <is>
        <t>VENTER ELITE</t>
      </is>
    </oc>
    <nc r="A89" t="inlineStr">
      <is>
        <t>VENTER ELITE DLV309N</t>
      </is>
    </nc>
  </rcc>
  <rfmt sheetId="5" sqref="K89">
    <dxf>
      <fill>
        <patternFill>
          <bgColor rgb="FF7030A0"/>
        </patternFill>
      </fill>
    </dxf>
  </rfmt>
  <rcc rId="4124" sId="5">
    <oc r="B89" t="inlineStr">
      <is>
        <t>DLV 309 N</t>
      </is>
    </oc>
    <nc r="B89" t="inlineStr">
      <is>
        <t>DMY 774 L</t>
      </is>
    </nc>
  </rcc>
  <rcc rId="4125" sId="5">
    <oc r="A90" t="inlineStr">
      <is>
        <t>VENTER TRAILER</t>
      </is>
    </oc>
    <nc r="A90" t="inlineStr">
      <is>
        <t>VENTER TRAILER DLV304N</t>
      </is>
    </nc>
  </rcc>
  <rcc rId="4126" sId="5">
    <oc r="B90" t="inlineStr">
      <is>
        <t>DLV 304 N</t>
      </is>
    </oc>
    <nc r="B90" t="inlineStr">
      <is>
        <t>DMY 775 L</t>
      </is>
    </nc>
  </rcc>
  <rfmt sheetId="5" sqref="K90">
    <dxf>
      <fill>
        <patternFill>
          <bgColor rgb="FF7030A0"/>
        </patternFill>
      </fill>
    </dxf>
  </rfmt>
</revisions>
</file>

<file path=xl/revisions/revisionLog18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27" sId="5">
    <nc r="B41">
      <f>'1-10'!R35</f>
    </nc>
  </rcc>
  <rcc rId="4128" sId="5">
    <oc r="C41" t="inlineStr">
      <is>
        <t>640</t>
      </is>
    </oc>
    <nc r="C41" t="inlineStr">
      <is>
        <t>634</t>
      </is>
    </nc>
  </rcc>
  <rfmt sheetId="5" sqref="K41" start="0" length="2147483647">
    <dxf>
      <font>
        <color rgb="FFFF0000"/>
      </font>
    </dxf>
  </rfmt>
  <rfmt sheetId="5" sqref="K41">
    <dxf>
      <fill>
        <patternFill>
          <bgColor rgb="FFFF0000"/>
        </patternFill>
      </fill>
    </dxf>
  </rfmt>
</revisions>
</file>

<file path=xl/revisions/revisionLog18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29" sId="9">
    <nc r="F13" t="inlineStr">
      <is>
        <t>increase Licence</t>
      </is>
    </nc>
  </rcc>
  <rcc rId="4130" sId="9">
    <nc r="F14" t="inlineStr">
      <is>
        <t>Generral increase treasury.</t>
      </is>
    </nc>
  </rcc>
  <rfmt sheetId="9" sqref="B13:B14">
    <dxf>
      <numFmt numFmtId="14" formatCode="0.00%"/>
    </dxf>
  </rfmt>
  <rcc rId="4131" sId="9" numFmtId="14">
    <nc r="B13">
      <v>4.9000000000000002E-2</v>
    </nc>
  </rcc>
  <rcc rId="4132" sId="9" numFmtId="14">
    <nc r="B14">
      <v>4.9000000000000002E-2</v>
    </nc>
  </rcc>
  <rrc rId="4133" sId="9" eol="1" ref="A15:XFD15" action="insertRow"/>
  <rcc rId="4134" sId="9">
    <nc r="F15" t="inlineStr">
      <is>
        <t>Eskaltion tracking device</t>
      </is>
    </nc>
  </rcc>
  <rfmt sheetId="9" sqref="B15">
    <dxf>
      <numFmt numFmtId="14" formatCode="0.00%"/>
    </dxf>
  </rfmt>
  <rcc rId="4135" sId="9" numFmtId="14">
    <nc r="B15">
      <v>0.1</v>
    </nc>
  </rcc>
  <rcc rId="4136" sId="1">
    <oc r="H8">
      <f>58000</f>
    </oc>
    <nc r="H8">
      <f>58000*(1+CALC!B14)</f>
    </nc>
  </rcc>
  <rcc rId="4137" sId="1">
    <nc r="F9">
      <f>3000*(CALC!$A$4)</f>
    </nc>
  </rcc>
  <rcc rId="4138" sId="1">
    <oc r="F8">
      <f>250*12</f>
    </oc>
    <nc r="F8">
      <f>250*12*(1+CALC!$B$15)</f>
    </nc>
  </rcc>
  <rcc rId="4139" sId="1">
    <oc r="F9">
      <v>3000</v>
    </oc>
    <nc r="F9">
      <f>3000*(1+CALC!$B$15)</f>
    </nc>
  </rcc>
  <rcc rId="4140" sId="1" numFmtId="34">
    <oc r="F15">
      <v>23400</v>
    </oc>
    <nc r="F15">
      <f>23400*(1+CALC!$B$15)</f>
    </nc>
  </rcc>
  <rcc rId="4141" sId="1" numFmtId="34">
    <oc r="F16">
      <v>23400</v>
    </oc>
    <nc r="F16">
      <f>23400*(1+CALC!$B$15)</f>
    </nc>
  </rcc>
  <rcc rId="4142" sId="1" numFmtId="34">
    <oc r="F22">
      <v>23400</v>
    </oc>
    <nc r="F22">
      <f>23400*(1+CALC!$B$15)</f>
    </nc>
  </rcc>
  <rcc rId="4143" sId="1" numFmtId="34">
    <oc r="F28">
      <v>23400</v>
    </oc>
    <nc r="F28">
      <f>23400*(1+CALC!$B$15)</f>
    </nc>
  </rcc>
  <rcc rId="4144" sId="1" numFmtId="34">
    <oc r="F34">
      <v>23400</v>
    </oc>
    <nc r="F34">
      <f>23400*(1+CALC!$B$15)</f>
    </nc>
  </rcc>
  <rcc rId="4145" sId="2" numFmtId="34">
    <oc r="F9">
      <v>23400</v>
    </oc>
    <nc r="F9">
      <f>23400*(1+CALC!$B$15)</f>
    </nc>
  </rcc>
  <rcc rId="4146" sId="2" numFmtId="34">
    <oc r="F10">
      <v>23400</v>
    </oc>
    <nc r="F10">
      <f>23400*(1+CALC!$B$15)</f>
    </nc>
  </rcc>
  <rcv guid="{DF69299D-7752-4436-A45D-28F739CEE21B}" action="delete"/>
  <rdn rId="0" localSheetId="1" customView="1" name="Z_DF69299D_7752_4436_A45D_28F739CEE21B_.wvu.PrintArea" hidden="1" oldHidden="1">
    <formula>mayor!$A$1:$Q$42</formula>
    <oldFormula>mayor!$A$1:$Q$42</oldFormula>
  </rdn>
  <rdn rId="0" localSheetId="1" customView="1" name="Z_DF69299D_7752_4436_A45D_28F739CEE21B_.wvu.Cols" hidden="1" oldHidden="1">
    <formula>mayor!$P:$P</formula>
    <oldFormula>mayor!$P:$P</oldFormula>
  </rdn>
  <rdn rId="0" localSheetId="1" customView="1" name="Z_DF69299D_7752_4436_A45D_28F739CEE21B_.wvu.FilterData" hidden="1" oldHidden="1">
    <formula>mayor!$A$16:$C$16</formula>
    <oldFormula>mayor!$A$16:$C$16</oldFormula>
  </rdn>
  <rdn rId="0" localSheetId="2" customView="1" name="Z_DF69299D_7752_4436_A45D_28F739CEE21B_.wvu.PrintArea" hidden="1" oldHidden="1">
    <formula>income!$A$1:$Q$16</formula>
    <oldFormula>income!$A$1:$Q$16</oldFormula>
  </rdn>
  <rdn rId="0" localSheetId="2" customView="1" name="Z_DF69299D_7752_4436_A45D_28F739CEE21B_.wvu.Cols" hidden="1" oldHidden="1">
    <formula>income!$P:$P</formula>
    <oldFormula>income!$P:$P</oldFormula>
  </rdn>
  <rdn rId="0" localSheetId="3" customView="1" name="Z_DF69299D_7752_4436_A45D_28F739CEE21B_.wvu.PrintArea" hidden="1" oldHidden="1">
    <formula>workshop!$A$1:$Q$20</formula>
    <oldFormula>workshop!$A$1:$Q$20</oldFormula>
  </rdn>
  <rdn rId="0" localSheetId="3" customView="1" name="Z_DF69299D_7752_4436_A45D_28F739CEE21B_.wvu.Cols" hidden="1" oldHidden="1">
    <formula>workshop!$J:$J,workshop!$P:$P</formula>
    <oldFormula>workshop!$J:$J,workshop!$P:$P</oldFormula>
  </rdn>
  <rdn rId="0" localSheetId="4" customView="1" name="Z_DF69299D_7752_4436_A45D_28F739CEE21B_.wvu.PrintArea" hidden="1" oldHidden="1">
    <formula>'COMMUNITY SERV'!$A$1:$Q$103</formula>
    <oldFormula>'COMMUNITY SERV'!$A$1:$Q$103</oldFormula>
  </rdn>
  <rdn rId="0" localSheetId="5" customView="1" name="Z_DF69299D_7752_4436_A45D_28F739CEE21B_.wvu.PrintArea" hidden="1" oldHidden="1">
    <formula>EEM!$A$1:$Q$107</formula>
    <oldFormula>EEM!$A$1:$Q$107</oldFormula>
  </rdn>
  <rdn rId="0" localSheetId="6" customView="1" name="Z_DF69299D_7752_4436_A45D_28F739CEE21B_.wvu.PrintArea" hidden="1" oldHidden="1">
    <formula>CEM!$A$1:$Q$146</formula>
    <oldFormula>CEM!$A$1:$Q$146</oldFormula>
  </rdn>
  <rdn rId="0" localSheetId="6" customView="1" name="Z_DF69299D_7752_4436_A45D_28F739CEE21B_.wvu.Rows" hidden="1" oldHidden="1">
    <formula>CEM!$141:$141</formula>
    <oldFormula>CEM!$141:$141</oldFormula>
  </rdn>
  <rdn rId="0" localSheetId="6" customView="1" name="Z_DF69299D_7752_4436_A45D_28F739CEE21B_.wvu.Cols" hidden="1" oldHidden="1">
    <formula>CEM!$P:$P</formula>
    <oldFormula>CEM!$P:$P</oldFormula>
  </rdn>
  <rdn rId="0" localSheetId="7" customView="1" name="Z_DF69299D_7752_4436_A45D_28F739CEE21B_.wvu.PrintArea" hidden="1" oldHidden="1">
    <formula>MDC!$A$1:$Q$99</formula>
    <oldFormula>MDC!$A$1:$Q$99</oldFormula>
  </rdn>
  <rdn rId="0" localSheetId="7" customView="1" name="Z_DF69299D_7752_4436_A45D_28F739CEE21B_.wvu.Rows" hidden="1" oldHidden="1">
    <formula>MDC!$67:$73</formula>
    <oldFormula>MDC!$67:$73</oldFormula>
  </rdn>
  <rdn rId="0" localSheetId="7" customView="1" name="Z_DF69299D_7752_4436_A45D_28F739CEE21B_.wvu.Cols" hidden="1" oldHidden="1">
    <formula>MDC!$J:$J,MDC!$P:$P</formula>
    <oldFormula>MDC!$J:$J,MDC!$P:$P</oldFormula>
  </rdn>
  <rdn rId="0" localSheetId="8" customView="1" name="Z_DF69299D_7752_4436_A45D_28F739CEE21B_.wvu.PrintArea" hidden="1" oldHidden="1">
    <formula>BUDGET!$A$1:$B$76</formula>
    <oldFormula>BUDGET!$A$1:$B$76</oldFormula>
  </rdn>
  <rdn rId="0" localSheetId="8" customView="1" name="Z_DF69299D_7752_4436_A45D_28F739CEE21B_.wvu.Rows" hidden="1" oldHidden="1">
    <formula>BUDGET!$3:$7,BUDGET!$9:$9,BUDGET!$11:$11,BUDGET!$13:$16,BUDGET!$18:$21,BUDGET!$23:$23,BUDGET!$25:$28,BUDGET!$30:$36,BUDGET!$38:$38,BUDGET!$40:$40,BUDGET!$42:$47,BUDGET!$49:$49,BUDGET!$51:$54,BUDGET!$56:$59,BUDGET!$61:$66,BUDGET!$68:$68,BUDGET!$70:$70</formula>
    <oldFormula>BUDGET!$3:$7,BUDGET!$9:$9,BUDGET!$11:$11,BUDGET!$13:$16,BUDGET!$18:$21,BUDGET!$23:$23,BUDGET!$25:$28,BUDGET!$30:$36,BUDGET!$38:$38,BUDGET!$40:$40,BUDGET!$42:$47,BUDGET!$49:$49,BUDGET!$51:$54,BUDGET!$56:$59,BUDGET!$61:$66,BUDGET!$68:$68,BUDGET!$70:$70</oldFormula>
  </rdn>
  <rdn rId="0" localSheetId="8" customView="1" name="Z_DF69299D_7752_4436_A45D_28F739CEE21B_.wvu.Cols" hidden="1" oldHidden="1">
    <formula>BUDGET!$C:$S</formula>
    <oldFormula>BUDGET!$C:$S</oldFormula>
  </rdn>
  <rdn rId="0" localSheetId="10" customView="1" name="Z_DF69299D_7752_4436_A45D_28F739CEE21B_.wvu.FilterData" hidden="1" oldHidden="1">
    <formula>orig!$A$1:$AN$198</formula>
    <oldFormula>orig!$A$1:$AN$198</oldFormula>
  </rdn>
  <rdn rId="0" localSheetId="11" customView="1" name="Z_DF69299D_7752_4436_A45D_28F739CEE21B_.wvu.Cols" hidden="1" oldHidden="1">
    <formula>'1-10'!$B:$B</formula>
    <oldFormula>'1-10'!$B:$B</oldFormula>
  </rdn>
  <rdn rId="0" localSheetId="11" customView="1" name="Z_DF69299D_7752_4436_A45D_28F739CEE21B_.wvu.FilterData" hidden="1" oldHidden="1">
    <formula>'1-10'!$A$1:$AY$100</formula>
    <oldFormula>'1-10'!$A$1:$AY$100</oldFormula>
  </rdn>
  <rdn rId="0" localSheetId="12" customView="1" name="Z_DF69299D_7752_4436_A45D_28F739CEE21B_.wvu.Rows" hidden="1" oldHidden="1">
    <formula>'new veh 2012'!$96:$97</formula>
    <oldFormula>'new veh 2012'!$96:$97</oldFormula>
  </rdn>
  <rdn rId="0" localSheetId="12" customView="1" name="Z_DF69299D_7752_4436_A45D_28F739CEE21B_.wvu.FilterData" hidden="1" oldHidden="1">
    <formula>'new veh 2012'!$A$1:$J$95</formula>
    <oldFormula>'new veh 2012'!$A$1:$J$95</oldFormula>
  </rdn>
  <rdn rId="0" localSheetId="14" customView="1" name="Z_DF69299D_7752_4436_A45D_28F739CEE21B_.wvu.FilterData" hidden="1" oldHidden="1">
    <formula>stbk!$A$1:$G$199</formula>
    <oldFormula>stbk!$A$1:$G$199</oldFormula>
  </rdn>
  <rcv guid="{DF69299D-7752-4436-A45D-28F739CEE21B}" action="add"/>
</revisions>
</file>

<file path=xl/revisions/revisionLog18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71" sId="6" numFmtId="4">
    <oc r="D66">
      <v>1000</v>
    </oc>
    <nc r="D66">
      <v>600</v>
    </nc>
  </rcc>
  <rcc rId="4172" sId="6" numFmtId="4">
    <oc r="D67">
      <v>1000</v>
    </oc>
    <nc r="D67">
      <v>600</v>
    </nc>
  </rcc>
  <rcc rId="4173" sId="1">
    <oc r="A1" t="inlineStr">
      <is>
        <t>VEHICLE BUDGET 2021-2022</t>
      </is>
    </oc>
    <nc r="A1" t="inlineStr">
      <is>
        <t>VEHICLE BUDGET 2024-2025</t>
      </is>
    </nc>
  </rcc>
  <rcc rId="4174" sId="2">
    <oc r="A1" t="inlineStr">
      <is>
        <t>VEHICLE BUDGET 2021-2022</t>
      </is>
    </oc>
    <nc r="A1" t="inlineStr">
      <is>
        <t>VEHICLE BUDGET 2024-2025</t>
      </is>
    </nc>
  </rcc>
  <rcc rId="4175" sId="3">
    <oc r="A1" t="inlineStr">
      <is>
        <t>VEHICLE BUDGET 2021-2022</t>
      </is>
    </oc>
    <nc r="A1" t="inlineStr">
      <is>
        <t>VEHICLE BUDGET 2024-2025</t>
      </is>
    </nc>
  </rcc>
  <rcc rId="4176" sId="4">
    <oc r="A1" t="inlineStr">
      <is>
        <t>VEHICLE BUDGET 2021-2022</t>
      </is>
    </oc>
    <nc r="A1" t="inlineStr">
      <is>
        <t>VEHICLE BUDGET 2024-2025</t>
      </is>
    </nc>
  </rcc>
  <rcc rId="4177" sId="5">
    <oc r="A1" t="inlineStr">
      <is>
        <t>VEHICLE BUDGET 2021-2022</t>
      </is>
    </oc>
    <nc r="A1" t="inlineStr">
      <is>
        <t>VEHICLE BUDGET 2024-2025</t>
      </is>
    </nc>
  </rcc>
  <rcc rId="4178" sId="6">
    <oc r="A1" t="inlineStr">
      <is>
        <t>VEHICLE BUDGET 2021-2022</t>
      </is>
    </oc>
    <nc r="A1" t="inlineStr">
      <is>
        <t>VEHICLE BUDGET 2024-2025</t>
      </is>
    </nc>
  </rcc>
  <rcc rId="4179" sId="7">
    <oc r="A1" t="inlineStr">
      <is>
        <t>VEHICLE BUDGET 2021-2022</t>
      </is>
    </oc>
    <nc r="A1" t="inlineStr">
      <is>
        <t>VEHICLE BUDGET 2024-2025</t>
      </is>
    </nc>
  </rcc>
</revisions>
</file>

<file path=xl/revisions/revisionLog18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4180" sId="6" ref="A55:XFD56" action="insertRow">
    <undo index="65535" exp="area" ref3D="1" dr="$A$141:$XFD$141" dn="Z_DF69299D_7752_4436_A45D_28F739CEE21B_.wvu.Rows" sId="6"/>
    <undo index="65535" exp="area" ref3D="1" dr="$P$1:$P$1048576" dn="Z_DF69299D_7752_4436_A45D_28F739CEE21B_.wvu.Cols" sId="6"/>
    <undo index="65535" exp="area" ref3D="1" dr="$A$141:$XFD$141" dn="Z_6C0BD6A7_6718_429D_82D9_D2FE0341EA2C_.wvu.Rows" sId="6"/>
    <undo index="65535" exp="area" ref3D="1" dr="$A$141:$XFD$141" dn="Z_594C4AB0_8D5F_4373_9663_410F4413FE3A_.wvu.Rows" sId="6"/>
  </rrc>
  <rcc rId="4181" sId="6" odxf="1" dxf="1">
    <nc r="B55" t="inlineStr">
      <is>
        <t>HDP 509 L</t>
      </is>
    </nc>
    <odxf>
      <font>
        <sz val="8"/>
        <name val="Consolas"/>
        <family val="3"/>
      </font>
      <fill>
        <patternFill>
          <bgColor rgb="FFFFFF00"/>
        </patternFill>
      </fill>
    </odxf>
    <ndxf>
      <font>
        <sz val="10"/>
        <color auto="1"/>
        <name val="Arial"/>
        <family val="3"/>
        <scheme val="none"/>
      </font>
      <fill>
        <patternFill>
          <bgColor rgb="FFFF0000"/>
        </patternFill>
      </fill>
    </ndxf>
  </rcc>
  <rcc rId="4182" sId="6" odxf="1" dxf="1">
    <nc r="B56" t="inlineStr">
      <is>
        <t>HDP 506 L</t>
      </is>
    </nc>
    <odxf>
      <font>
        <sz val="8"/>
        <name val="Consolas"/>
        <family val="3"/>
      </font>
      <fill>
        <patternFill>
          <bgColor rgb="FFFFFF00"/>
        </patternFill>
      </fill>
    </odxf>
    <ndxf>
      <font>
        <sz val="10"/>
        <color auto="1"/>
        <name val="Arial"/>
        <family val="3"/>
        <scheme val="none"/>
      </font>
      <fill>
        <patternFill>
          <bgColor rgb="FFFF0000"/>
        </patternFill>
      </fill>
    </ndxf>
  </rcc>
  <rcc rId="4183" sId="6">
    <nc r="A55" t="inlineStr">
      <is>
        <t>KomatsuGrader</t>
      </is>
    </nc>
  </rcc>
  <rcc rId="4184" sId="6">
    <nc r="A56" t="inlineStr">
      <is>
        <t>KomatsuGrader</t>
      </is>
    </nc>
  </rcc>
  <rcc rId="4185" sId="6" numFmtId="34">
    <nc r="K55">
      <v>300</v>
    </nc>
  </rcc>
  <rcc rId="4186" sId="6" numFmtId="34">
    <nc r="K56">
      <v>300</v>
    </nc>
  </rcc>
  <rcc rId="4187" sId="6" numFmtId="34">
    <nc r="H55">
      <v>300000</v>
    </nc>
  </rcc>
  <rcc rId="4188" sId="6" numFmtId="34">
    <nc r="H56">
      <v>300000</v>
    </nc>
  </rcc>
  <rcc rId="4189" sId="6" numFmtId="34">
    <nc r="F55">
      <v>23400</v>
    </nc>
  </rcc>
  <rcc rId="4190" sId="6" numFmtId="34">
    <nc r="F56">
      <v>23400</v>
    </nc>
  </rcc>
  <rcc rId="4191" sId="6" numFmtId="4">
    <nc r="D55">
      <v>1500</v>
    </nc>
  </rcc>
  <rcc rId="4192" sId="6" numFmtId="4">
    <nc r="D56">
      <v>1500</v>
    </nc>
  </rcc>
  <rcc rId="4193" sId="6" numFmtId="34">
    <nc r="E55">
      <v>300000</v>
    </nc>
  </rcc>
  <rcc rId="4194" sId="6" numFmtId="34">
    <nc r="E56">
      <v>300000</v>
    </nc>
  </rcc>
</revisions>
</file>

<file path=xl/revisions/revisionLog18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95" sId="5">
    <oc r="A37">
      <f>+'1-10'!C37</f>
    </oc>
    <nc r="A37" t="inlineStr">
      <is>
        <t>Toyota Land Cruiser</t>
      </is>
    </nc>
  </rcc>
  <rcc rId="4196" sId="5">
    <oc r="A38">
      <f>+'1-10'!C38</f>
    </oc>
    <nc r="A38" t="inlineStr">
      <is>
        <t>Toyota Land Cruiser</t>
      </is>
    </nc>
  </rcc>
  <rcc rId="4197" sId="5">
    <oc r="C37" t="inlineStr">
      <is>
        <t>636</t>
      </is>
    </oc>
    <nc r="C37"/>
  </rcc>
  <rcc rId="4198" sId="5">
    <oc r="C38" t="inlineStr">
      <is>
        <t>637</t>
      </is>
    </oc>
    <nc r="C38"/>
  </rcc>
  <rcc rId="4199" sId="5" odxf="1" dxf="1">
    <oc r="B37">
      <f>+'1-10'!R37</f>
    </oc>
    <nc r="B37" t="inlineStr">
      <is>
        <t>FZP 282 L</t>
      </is>
    </nc>
    <odxf>
      <font>
        <sz val="8"/>
        <color rgb="FFFF0000"/>
        <name val="Consolas"/>
        <family val="3"/>
      </font>
      <fill>
        <patternFill>
          <bgColor rgb="FFFFC000"/>
        </patternFill>
      </fill>
      <alignment horizontal="left" vertical="top"/>
    </odxf>
    <ndxf>
      <font>
        <sz val="10"/>
        <color auto="1"/>
        <name val="Arial"/>
        <family val="3"/>
        <scheme val="none"/>
      </font>
      <fill>
        <patternFill>
          <bgColor rgb="FFFF0000"/>
        </patternFill>
      </fill>
      <alignment horizontal="general" vertical="bottom"/>
    </ndxf>
  </rcc>
  <rcc rId="4200" sId="5" odxf="1" dxf="1">
    <oc r="B38">
      <f>+'1-10'!R38</f>
    </oc>
    <nc r="B38" t="inlineStr">
      <is>
        <t>FZP 278 L</t>
      </is>
    </nc>
    <odxf>
      <font>
        <sz val="8"/>
        <name val="Consolas"/>
        <family val="3"/>
      </font>
      <fill>
        <patternFill>
          <bgColor rgb="FFFFC000"/>
        </patternFill>
      </fill>
      <alignment horizontal="left" vertical="top"/>
    </odxf>
    <ndxf>
      <font>
        <sz val="10"/>
        <color auto="1"/>
        <name val="Arial"/>
        <family val="3"/>
        <scheme val="none"/>
      </font>
      <fill>
        <patternFill>
          <bgColor rgb="FFFF0000"/>
        </patternFill>
      </fill>
      <alignment horizontal="general" vertical="bottom"/>
    </ndxf>
  </rcc>
  <rcc rId="4201" sId="5" numFmtId="4">
    <oc r="D37">
      <v>0</v>
    </oc>
    <nc r="D37">
      <v>25000</v>
    </nc>
  </rcc>
  <rcc rId="4202" sId="5" numFmtId="4">
    <oc r="D38">
      <v>0</v>
    </oc>
    <nc r="D38">
      <v>25000</v>
    </nc>
  </rcc>
  <rcc rId="4203" sId="5" odxf="1" dxf="1" numFmtId="34">
    <oc r="E37">
      <v>0</v>
    </oc>
    <nc r="E37">
      <f>+D37/P37*(CALC!$A$4)</f>
    </nc>
    <odxf>
      <font>
        <sz val="8"/>
        <name val="Consolas"/>
        <family val="3"/>
      </font>
      <fill>
        <patternFill patternType="none">
          <bgColor indexed="65"/>
        </patternFill>
      </fill>
    </odxf>
    <ndxf>
      <font>
        <sz val="8"/>
        <color rgb="FFFF0000"/>
        <name val="Consolas"/>
        <family val="3"/>
      </font>
      <fill>
        <patternFill patternType="solid">
          <bgColor rgb="FF00B0F0"/>
        </patternFill>
      </fill>
    </ndxf>
  </rcc>
  <rcc rId="4204" sId="5" odxf="1" dxf="1" numFmtId="34">
    <oc r="F37">
      <v>0</v>
    </oc>
    <nc r="F37">
      <v>23400</v>
    </nc>
    <odxf>
      <font>
        <sz val="8"/>
        <color rgb="FFFF0000"/>
        <name val="Consolas"/>
        <family val="3"/>
      </font>
    </odxf>
    <ndxf>
      <font>
        <sz val="8"/>
        <color rgb="FFFF0000"/>
        <name val="Consolas"/>
        <family val="3"/>
      </font>
    </ndxf>
  </rcc>
  <rcc rId="4205" sId="5" numFmtId="34">
    <oc r="F38">
      <v>0</v>
    </oc>
    <nc r="F38">
      <v>23400</v>
    </nc>
  </rcc>
  <rcc rId="4206" sId="5" odxf="1" dxf="1" numFmtId="34">
    <oc r="K37">
      <v>0</v>
    </oc>
    <nc r="K37">
      <f>678*1.06</f>
    </nc>
    <odxf>
      <font>
        <sz val="8"/>
        <name val="Consolas"/>
        <family val="3"/>
      </font>
      <fill>
        <patternFill patternType="none">
          <bgColor indexed="65"/>
        </patternFill>
      </fill>
    </odxf>
    <ndxf>
      <font>
        <sz val="8"/>
        <color rgb="FFFF0000"/>
        <name val="Consolas"/>
        <family val="3"/>
      </font>
      <fill>
        <patternFill patternType="solid">
          <bgColor rgb="FF7030A0"/>
        </patternFill>
      </fill>
    </ndxf>
  </rcc>
  <rcc rId="4207" sId="5" odxf="1" dxf="1" numFmtId="34">
    <oc r="K38">
      <v>0</v>
    </oc>
    <nc r="K38">
      <f>678*1.06</f>
    </nc>
    <odxf>
      <font>
        <sz val="8"/>
        <name val="Consolas"/>
        <family val="3"/>
      </font>
      <fill>
        <patternFill patternType="none">
          <bgColor indexed="65"/>
        </patternFill>
      </fill>
    </odxf>
    <ndxf>
      <font>
        <sz val="8"/>
        <color rgb="FFFF0000"/>
        <name val="Consolas"/>
        <family val="3"/>
      </font>
      <fill>
        <patternFill patternType="solid">
          <bgColor rgb="FF7030A0"/>
        </patternFill>
      </fill>
    </ndxf>
  </rcc>
</revisions>
</file>

<file path=xl/revisions/revisionLog18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208" sId="5" numFmtId="34">
    <oc r="H37">
      <v>0</v>
    </oc>
    <nc r="H37">
      <v>30000</v>
    </nc>
  </rcc>
  <rcc rId="4209" sId="5" odxf="1" dxf="1" numFmtId="34">
    <oc r="H38">
      <v>0</v>
    </oc>
    <nc r="H38">
      <v>30000</v>
    </nc>
    <odxf>
      <font>
        <sz val="8"/>
        <name val="Consolas"/>
        <family val="3"/>
      </font>
    </odxf>
    <ndxf>
      <font>
        <sz val="8"/>
        <color rgb="FFFF0000"/>
        <name val="Consolas"/>
        <family val="3"/>
      </font>
    </ndxf>
  </rcc>
</revisions>
</file>

<file path=xl/revisions/revisionLog18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210" sId="1" odxf="1" dxf="1">
    <nc r="A35" t="inlineStr">
      <is>
        <t>FORTUNER</t>
      </is>
    </nc>
    <odxf>
      <font>
        <sz val="8"/>
        <name val="Consolas"/>
        <family val="3"/>
      </font>
    </odxf>
    <ndxf>
      <font>
        <sz val="10"/>
        <color auto="1"/>
        <name val="Arial"/>
        <family val="3"/>
        <scheme val="none"/>
      </font>
    </ndxf>
  </rcc>
  <rcc rId="4211" sId="1" odxf="1" dxf="1">
    <nc r="B35" t="inlineStr">
      <is>
        <t>FYV 164 L</t>
      </is>
    </nc>
    <odxf>
      <font>
        <sz val="8"/>
        <name val="Consolas"/>
        <family val="3"/>
      </font>
      <fill>
        <patternFill patternType="none">
          <bgColor indexed="65"/>
        </patternFill>
      </fill>
    </odxf>
    <ndxf>
      <font>
        <sz val="10"/>
        <color auto="1"/>
        <name val="Arial"/>
        <family val="3"/>
        <scheme val="none"/>
      </font>
      <fill>
        <patternFill patternType="solid">
          <bgColor rgb="FFFF0000"/>
        </patternFill>
      </fill>
    </ndxf>
  </rcc>
  <rcc rId="4212" sId="1" numFmtId="4">
    <nc r="D35">
      <v>38000</v>
    </nc>
  </rcc>
  <rcc rId="4213" sId="1" odxf="1" dxf="1">
    <nc r="E35">
      <f>+D35/P35*(CALC!$A$4)</f>
    </nc>
    <ndxf>
      <fill>
        <patternFill patternType="solid">
          <bgColor rgb="FF00B0F0"/>
        </patternFill>
      </fill>
    </ndxf>
  </rcc>
  <rcc rId="4214" sId="1" numFmtId="4">
    <oc r="D34">
      <v>38000</v>
    </oc>
    <nc r="D34">
      <v>4000</v>
    </nc>
  </rcc>
  <rcc rId="4215" sId="1" numFmtId="34">
    <nc r="E35">
      <v>80000</v>
    </nc>
  </rcc>
  <rcc rId="4216" sId="1" odxf="1" dxf="1">
    <nc r="F35">
      <f>23400*(1+CALC!$B$15)</f>
    </nc>
    <odxf/>
    <ndxf/>
  </rcc>
  <rcc rId="4217" sId="1" odxf="1" dxf="1" numFmtId="34">
    <nc r="H35">
      <v>50000</v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4218" sId="1" numFmtId="34">
    <oc r="H34">
      <v>50000</v>
    </oc>
    <nc r="H34">
      <v>5000</v>
    </nc>
  </rcc>
  <rcc rId="4219" sId="1" odxf="1" dxf="1">
    <nc r="K35">
      <f>1110*1.06</f>
    </nc>
    <odxf>
      <fill>
        <patternFill patternType="none">
          <bgColor indexed="65"/>
        </patternFill>
      </fill>
    </odxf>
    <ndxf>
      <fill>
        <patternFill patternType="solid">
          <bgColor rgb="FF7030A0"/>
        </patternFill>
      </fill>
    </ndxf>
  </rcc>
  <rcc rId="4220" sId="1" odxf="1" dxf="1">
    <nc r="B29" t="inlineStr">
      <is>
        <t>FYR 284 L</t>
      </is>
    </nc>
    <odxf>
      <font>
        <sz val="8"/>
        <name val="Consolas"/>
        <family val="3"/>
      </font>
      <fill>
        <patternFill patternType="none">
          <bgColor indexed="65"/>
        </patternFill>
      </fill>
    </odxf>
    <ndxf>
      <font>
        <sz val="10"/>
        <color auto="1"/>
        <name val="Arial"/>
        <family val="3"/>
        <scheme val="none"/>
      </font>
      <fill>
        <patternFill patternType="solid">
          <bgColor rgb="FFFF0000"/>
        </patternFill>
      </fill>
    </ndxf>
  </rcc>
  <rcc rId="4221" sId="1" odxf="1" dxf="1">
    <nc r="A29" t="inlineStr">
      <is>
        <t>VOLKSWAGEN</t>
      </is>
    </nc>
    <odxf>
      <font>
        <sz val="8"/>
        <name val="Consolas"/>
        <family val="3"/>
      </font>
    </odxf>
    <ndxf>
      <font>
        <sz val="10"/>
        <color auto="1"/>
        <name val="Arial"/>
        <family val="3"/>
        <scheme val="none"/>
      </font>
    </ndxf>
  </rcc>
  <rcc rId="4222" sId="1" numFmtId="4">
    <nc r="D29">
      <v>25000</v>
    </nc>
  </rcc>
  <rfmt sheetId="1" sqref="E29" start="0" length="0">
    <dxf>
      <fill>
        <patternFill patternType="solid">
          <bgColor theme="6"/>
        </patternFill>
      </fill>
    </dxf>
  </rfmt>
  <rcc rId="4223" sId="1" numFmtId="34">
    <nc r="E29">
      <v>80000</v>
    </nc>
  </rcc>
  <rcc rId="4224" sId="1" odxf="1" dxf="1">
    <nc r="F29">
      <f>23400*(1+CALC!$B$15)</f>
    </nc>
    <odxf>
      <fill>
        <patternFill patternType="none">
          <bgColor indexed="65"/>
        </patternFill>
      </fill>
    </odxf>
    <ndxf>
      <fill>
        <patternFill patternType="solid">
          <bgColor theme="6"/>
        </patternFill>
      </fill>
    </ndxf>
  </rcc>
  <rcc rId="4225" sId="1" odxf="1" dxf="1">
    <nc r="K29">
      <f>1110*1.06</f>
    </nc>
    <odxf>
      <fill>
        <patternFill patternType="none">
          <bgColor indexed="65"/>
        </patternFill>
      </fill>
    </odxf>
    <ndxf>
      <fill>
        <patternFill patternType="solid">
          <bgColor rgb="FF7030A0"/>
        </patternFill>
      </fill>
    </ndxf>
  </rcc>
  <rcc rId="4226" sId="1" numFmtId="34">
    <nc r="H29">
      <v>25000</v>
    </nc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7" sqref="A11:C11">
    <dxf>
      <fill>
        <patternFill patternType="solid">
          <bgColor rgb="FFFFFF00"/>
        </patternFill>
      </fill>
    </dxf>
  </rfmt>
  <rfmt sheetId="7" sqref="A39:C39">
    <dxf>
      <fill>
        <patternFill patternType="solid">
          <bgColor rgb="FFFFFF00"/>
        </patternFill>
      </fill>
    </dxf>
  </rfmt>
  <rfmt sheetId="7" sqref="A44:C44">
    <dxf>
      <fill>
        <patternFill patternType="solid">
          <bgColor rgb="FFFFFF00"/>
        </patternFill>
      </fill>
    </dxf>
  </rfmt>
  <rfmt sheetId="3" sqref="A15:C15">
    <dxf>
      <fill>
        <patternFill patternType="solid">
          <bgColor rgb="FFFFFF00"/>
        </patternFill>
      </fill>
    </dxf>
  </rfmt>
  <rfmt sheetId="3" sqref="A8:C8">
    <dxf>
      <fill>
        <patternFill patternType="solid">
          <bgColor rgb="FFFFFF00"/>
        </patternFill>
      </fill>
    </dxf>
  </rfmt>
  <rfmt sheetId="6" sqref="A22:C22">
    <dxf>
      <fill>
        <patternFill patternType="solid">
          <bgColor rgb="FFFFFF00"/>
        </patternFill>
      </fill>
    </dxf>
  </rfmt>
</revisions>
</file>

<file path=xl/revisions/revisionLog19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4227" sId="4" ref="A70:XFD71" action="insertRow"/>
  <rcc rId="4228" sId="4" odxf="1" dxf="1">
    <nc r="B70" t="inlineStr">
      <is>
        <t>FZL 973 L</t>
      </is>
    </nc>
    <odxf>
      <font>
        <sz val="8"/>
        <name val="Consolas"/>
        <family val="3"/>
      </font>
      <fill>
        <patternFill>
          <bgColor rgb="FFFFFF00"/>
        </patternFill>
      </fill>
    </odxf>
    <ndxf>
      <font>
        <sz val="10"/>
        <color auto="1"/>
        <name val="Arial"/>
        <family val="3"/>
        <scheme val="none"/>
      </font>
      <fill>
        <patternFill>
          <bgColor rgb="FFFF0000"/>
        </patternFill>
      </fill>
    </ndxf>
  </rcc>
  <rcc rId="4229" sId="4" odxf="1" dxf="1">
    <nc r="B71" t="inlineStr">
      <is>
        <t>HDH 837 L</t>
      </is>
    </nc>
    <odxf>
      <font>
        <sz val="8"/>
        <name val="Consolas"/>
        <family val="3"/>
      </font>
      <fill>
        <patternFill>
          <bgColor rgb="FFFFFF00"/>
        </patternFill>
      </fill>
    </odxf>
    <ndxf>
      <font>
        <sz val="10"/>
        <color auto="1"/>
        <name val="Arial"/>
        <family val="3"/>
        <scheme val="none"/>
      </font>
      <fill>
        <patternFill>
          <bgColor rgb="FFFF0000"/>
        </patternFill>
      </fill>
    </ndxf>
  </rcc>
  <rcc rId="4230" sId="4">
    <nc r="A70" t="inlineStr">
      <is>
        <t>UD 80 NISSAN</t>
      </is>
    </nc>
  </rcc>
  <rcc rId="4231" sId="4">
    <nc r="A71" t="inlineStr">
      <is>
        <t>UD 80 NISSAN</t>
      </is>
    </nc>
  </rcc>
  <rcc rId="4232" sId="4" numFmtId="4">
    <nc r="D70">
      <v>60000</v>
    </nc>
  </rcc>
  <rcc rId="4233" sId="4" numFmtId="4">
    <nc r="D71">
      <v>60000</v>
    </nc>
  </rcc>
  <rcc rId="4234" sId="4" numFmtId="34">
    <nc r="F70">
      <v>23400</v>
    </nc>
  </rcc>
  <rcc rId="4235" sId="4" numFmtId="34">
    <nc r="F71">
      <v>23400</v>
    </nc>
  </rcc>
  <rcc rId="4236" sId="4" numFmtId="34">
    <nc r="H70">
      <v>60000</v>
    </nc>
  </rcc>
  <rcc rId="4237" sId="4" numFmtId="34">
    <nc r="H71">
      <v>60000</v>
    </nc>
  </rcc>
  <rcc rId="4238" sId="4">
    <nc r="K70">
      <f>16680*1.06</f>
    </nc>
  </rcc>
  <rcc rId="4239" sId="4">
    <nc r="K71">
      <f>16680*1.06</f>
    </nc>
  </rcc>
  <rcc rId="4240" sId="4" numFmtId="34">
    <nc r="E70">
      <v>350000</v>
    </nc>
  </rcc>
  <rcc rId="4241" sId="4" numFmtId="34">
    <nc r="E71">
      <v>350000</v>
    </nc>
  </rcc>
</revisions>
</file>

<file path=xl/revisions/revisionLog19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242" sId="1" numFmtId="34">
    <nc r="L8">
      <v>35000</v>
    </nc>
  </rcc>
  <rcc rId="4243" sId="1" numFmtId="34">
    <nc r="L9">
      <v>35000</v>
    </nc>
  </rcc>
</revisions>
</file>

<file path=xl/revisions/revisionLog19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244" sId="1" numFmtId="34">
    <nc r="L15">
      <v>50000</v>
    </nc>
  </rcc>
  <rcc rId="4245" sId="1" numFmtId="34">
    <nc r="L16">
      <v>50000</v>
    </nc>
  </rcc>
  <rcc rId="4246" sId="1" numFmtId="4">
    <oc r="D8">
      <v>20592</v>
    </oc>
    <nc r="D8">
      <v>15000</v>
    </nc>
  </rcc>
  <rcc rId="4247" sId="1" numFmtId="4">
    <oc r="D9">
      <v>23284</v>
    </oc>
    <nc r="D9">
      <v>15000</v>
    </nc>
  </rcc>
  <rcc rId="4248" sId="1" numFmtId="4">
    <oc r="D15">
      <v>10000</v>
    </oc>
    <nc r="D15">
      <v>15000</v>
    </nc>
  </rcc>
  <rcc rId="4249" sId="1" numFmtId="4">
    <oc r="D16">
      <v>12000</v>
    </oc>
    <nc r="D16">
      <v>15000</v>
    </nc>
  </rcc>
  <rcc rId="4250" sId="1" numFmtId="34">
    <nc r="L22">
      <v>30000</v>
    </nc>
  </rcc>
  <rcc rId="4251" sId="1" numFmtId="4">
    <oc r="D22">
      <v>32576</v>
    </oc>
    <nc r="D22">
      <v>15000</v>
    </nc>
  </rcc>
  <rcc rId="4252" sId="1" numFmtId="34">
    <nc r="L34">
      <v>5000</v>
    </nc>
  </rcc>
  <rcc rId="4253" sId="1" numFmtId="34">
    <nc r="L29">
      <v>30000</v>
    </nc>
  </rcc>
  <rcc rId="4254" sId="1" numFmtId="34">
    <nc r="L35">
      <v>30000</v>
    </nc>
  </rcc>
</revisions>
</file>

<file path=xl/revisions/revisionLog19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255" sId="2">
    <oc r="B9">
      <f>+'1-10'!R25</f>
    </oc>
    <nc r="B9" t="inlineStr">
      <is>
        <t>CMB 481 L</t>
      </is>
    </nc>
  </rcc>
</revisions>
</file>

<file path=xl/revisions/revisionLog19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256" sId="2" numFmtId="4">
    <oc r="D9">
      <v>60000</v>
    </oc>
    <nc r="D9">
      <v>15000</v>
    </nc>
  </rcc>
  <rcc rId="4257" sId="2" numFmtId="4">
    <oc r="D10">
      <v>60000</v>
    </oc>
    <nc r="D10">
      <v>15000</v>
    </nc>
  </rcc>
  <rcc rId="4258" sId="2" numFmtId="34">
    <nc r="L9">
      <v>30000</v>
    </nc>
  </rcc>
  <rcc rId="4259" sId="2" numFmtId="34">
    <nc r="L10">
      <v>30000</v>
    </nc>
  </rcc>
</revisions>
</file>

<file path=xl/revisions/revisionLog19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6" sqref="E148">
    <dxf>
      <fill>
        <patternFill patternType="solid">
          <bgColor rgb="FFFFFF00"/>
        </patternFill>
      </fill>
    </dxf>
  </rfmt>
  <rfmt sheetId="6" sqref="H148">
    <dxf>
      <fill>
        <patternFill patternType="solid">
          <bgColor rgb="FFFFFF00"/>
        </patternFill>
      </fill>
    </dxf>
  </rfmt>
  <rfmt sheetId="6" sqref="J148">
    <dxf>
      <fill>
        <patternFill patternType="solid">
          <bgColor rgb="FFFFFF00"/>
        </patternFill>
      </fill>
    </dxf>
  </rfmt>
  <rfmt sheetId="6" sqref="K148">
    <dxf>
      <fill>
        <patternFill patternType="solid">
          <bgColor rgb="FFFFFF00"/>
        </patternFill>
      </fill>
    </dxf>
  </rfmt>
  <rfmt sheetId="6" sqref="R148" start="0" length="0">
    <dxf>
      <numFmt numFmtId="35" formatCode="_-* #,##0.00_-;\-* #,##0.00_-;_-* &quot;-&quot;??_-;_-@_-"/>
    </dxf>
  </rfmt>
  <rcc rId="4260" sId="6">
    <nc r="R148">
      <f>O148-L148-I148-G148</f>
    </nc>
  </rcc>
  <rcc rId="4261" sId="1" numFmtId="34">
    <oc r="L8">
      <v>35000</v>
    </oc>
    <nc r="L8"/>
  </rcc>
  <rcc rId="4262" sId="1" numFmtId="34">
    <oc r="L9">
      <v>35000</v>
    </oc>
    <nc r="L9"/>
  </rcc>
  <rcc rId="4263" sId="1" numFmtId="34">
    <oc r="L15">
      <v>50000</v>
    </oc>
    <nc r="L15"/>
  </rcc>
  <rcc rId="4264" sId="1" numFmtId="34">
    <oc r="L16">
      <v>50000</v>
    </oc>
    <nc r="L16"/>
  </rcc>
  <rcc rId="4265" sId="1" numFmtId="34">
    <oc r="L22">
      <v>30000</v>
    </oc>
    <nc r="L22"/>
  </rcc>
  <rcc rId="4266" sId="1" numFmtId="34">
    <oc r="L29">
      <v>30000</v>
    </oc>
    <nc r="L29"/>
  </rcc>
  <rcc rId="4267" sId="1" numFmtId="34">
    <oc r="L34">
      <v>5000</v>
    </oc>
    <nc r="L34"/>
  </rcc>
  <rcc rId="4268" sId="1" numFmtId="34">
    <oc r="L35">
      <v>30000</v>
    </oc>
    <nc r="L35"/>
  </rcc>
  <rcc rId="4269" sId="6">
    <nc r="K150">
      <f>E148+F148+H148+K148+J148</f>
    </nc>
  </rcc>
  <rcc rId="4270" sId="6">
    <oc r="H80">
      <f>95000</f>
    </oc>
    <nc r="H80"/>
  </rcc>
  <rcc rId="4271" sId="6">
    <oc r="H81">
      <f>95000</f>
    </oc>
    <nc r="H81"/>
  </rcc>
  <rcc rId="4272" sId="6">
    <oc r="H82">
      <f>95000</f>
    </oc>
    <nc r="H82"/>
  </rcc>
  <rcc rId="4273" sId="6">
    <oc r="H83">
      <f>95000</f>
    </oc>
    <nc r="H83"/>
  </rcc>
  <rcc rId="4274" sId="6">
    <oc r="E80">
      <f>+D80/2.5*11.5</f>
    </oc>
    <nc r="E80"/>
  </rcc>
  <rcc rId="4275" sId="6">
    <oc r="E81">
      <f>+D81/2.5*11.5</f>
    </oc>
    <nc r="E81"/>
  </rcc>
  <rcc rId="4276" sId="6">
    <oc r="E82">
      <f>+D82/2.5*11.5</f>
    </oc>
    <nc r="E82"/>
  </rcc>
  <rcc rId="4277" sId="6">
    <oc r="E83">
      <f>+D83/2.5*11.5</f>
    </oc>
    <nc r="E83"/>
  </rcc>
  <rcc rId="4278" sId="9" numFmtId="34">
    <oc r="A4">
      <v>23.5</v>
    </oc>
    <nc r="A4">
      <v>22</v>
    </nc>
  </rcc>
  <rcc rId="4279" sId="7" numFmtId="34">
    <oc r="E88">
      <f>+D88*P88*(CALC!$A$4)</f>
    </oc>
    <nc r="E88">
      <v>400000</v>
    </nc>
  </rcc>
  <rcc rId="4280" sId="7" numFmtId="34">
    <oc r="E89">
      <f>+D89*P89*(CALC!$A$4)</f>
    </oc>
    <nc r="E89">
      <v>400000</v>
    </nc>
  </rcc>
  <rcc rId="4281" sId="7" numFmtId="34">
    <nc r="E90">
      <v>3000000</v>
    </nc>
  </rcc>
  <rcc rId="4282" sId="7" numFmtId="34">
    <oc r="E90">
      <f>+D90*P90*(CALC!$A$4)</f>
    </oc>
    <nc r="E90">
      <v>300000</v>
    </nc>
  </rcc>
  <rcc rId="4283" sId="7" numFmtId="34">
    <nc r="E91">
      <v>400000</v>
    </nc>
  </rcc>
  <rcc rId="4284" sId="7" numFmtId="34">
    <oc r="E91">
      <f>+D91*P91*(CALC!$A$4)</f>
    </oc>
    <nc r="E91">
      <v>300000</v>
    </nc>
  </rcc>
  <rcc rId="4285" sId="7" numFmtId="34">
    <oc r="E92">
      <f>+D92*P92*(CALC!$A$4)</f>
    </oc>
    <nc r="E92">
      <v>400000</v>
    </nc>
  </rcc>
  <rcc rId="4286" sId="2" numFmtId="4">
    <oc r="D9">
      <v>15000</v>
    </oc>
    <nc r="D9">
      <v>10000</v>
    </nc>
  </rcc>
  <rcc rId="4287" sId="2" numFmtId="4">
    <oc r="D10">
      <v>15000</v>
    </oc>
    <nc r="D10">
      <v>10000</v>
    </nc>
  </rcc>
  <rcc rId="4288" sId="6" numFmtId="4">
    <oc r="D53">
      <v>1500</v>
    </oc>
    <nc r="D53">
      <v>1300</v>
    </nc>
  </rcc>
  <rcc rId="4289" sId="6" numFmtId="4">
    <oc r="D54">
      <v>1500</v>
    </oc>
    <nc r="D54">
      <v>1300</v>
    </nc>
  </rcc>
  <rcc rId="4290" sId="6" numFmtId="4">
    <oc r="D55">
      <v>1500</v>
    </oc>
    <nc r="D55">
      <v>1300</v>
    </nc>
  </rcc>
  <rcc rId="4291" sId="6" numFmtId="4">
    <oc r="D56">
      <v>1500</v>
    </oc>
    <nc r="D56">
      <v>1300</v>
    </nc>
  </rcc>
  <rcc rId="4292" sId="6" numFmtId="4">
    <oc r="D57">
      <v>1500</v>
    </oc>
    <nc r="D57">
      <v>1300</v>
    </nc>
  </rcc>
  <rcc rId="4293" sId="6" numFmtId="4">
    <oc r="D62">
      <v>1000</v>
    </oc>
    <nc r="D62">
      <v>600</v>
    </nc>
  </rcc>
  <rcc rId="4294" sId="6" numFmtId="4">
    <oc r="D63">
      <v>1000</v>
    </oc>
    <nc r="D63">
      <v>600</v>
    </nc>
  </rcc>
  <rcc rId="4295" sId="6" numFmtId="34">
    <nc r="G55">
      <v>30000</v>
    </nc>
  </rcc>
  <rcc rId="4296" sId="6" numFmtId="34">
    <nc r="G56">
      <v>30000</v>
    </nc>
  </rcc>
  <rcc rId="4297" sId="6" numFmtId="34">
    <oc r="G62">
      <f>CALC!$A$23*(CEM!I62/CEM!I$148)</f>
    </oc>
    <nc r="G62">
      <v>10000</v>
    </nc>
  </rcc>
  <rcc rId="4298" sId="6" numFmtId="34">
    <oc r="G63">
      <f>CALC!$A$23*(CEM!I63/CEM!I$148)</f>
    </oc>
    <nc r="G63">
      <v>10000</v>
    </nc>
  </rcc>
  <rcc rId="4299" sId="1" numFmtId="4">
    <oc r="D34">
      <v>4000</v>
    </oc>
    <nc r="D34">
      <v>1000</v>
    </nc>
  </rcc>
  <rcc rId="4300" sId="6" numFmtId="4">
    <oc r="D7">
      <v>40000</v>
    </oc>
    <nc r="D7">
      <v>30000</v>
    </nc>
  </rcc>
  <rcc rId="4301" sId="6" numFmtId="4">
    <oc r="D13">
      <v>40000</v>
    </oc>
    <nc r="D13">
      <v>30000</v>
    </nc>
  </rcc>
  <rcc rId="4302" sId="6" numFmtId="4">
    <oc r="D14">
      <v>63700</v>
    </oc>
    <nc r="D14">
      <v>30000</v>
    </nc>
  </rcc>
  <rcc rId="4303" sId="6" numFmtId="4">
    <oc r="D20">
      <v>30000</v>
    </oc>
    <nc r="D20">
      <v>20000</v>
    </nc>
  </rcc>
  <rcc rId="4304" sId="6" numFmtId="4">
    <oc r="D68">
      <v>600</v>
    </oc>
    <nc r="D68">
      <v>500</v>
    </nc>
  </rcc>
  <rcc rId="4305" sId="6" numFmtId="4">
    <oc r="D69">
      <v>600</v>
    </oc>
    <nc r="D69">
      <v>500</v>
    </nc>
  </rcc>
</revisions>
</file>

<file path=xl/revisions/revisionLog19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4" sqref="D74" start="0" length="0">
    <dxf>
      <fill>
        <patternFill patternType="none">
          <bgColor indexed="65"/>
        </patternFill>
      </fill>
    </dxf>
  </rfmt>
  <rcc rId="4306" sId="4" numFmtId="4">
    <oc r="D66">
      <v>30000</v>
    </oc>
    <nc r="D66">
      <v>40000</v>
    </nc>
  </rcc>
  <rcc rId="4307" sId="4" numFmtId="4">
    <oc r="D68">
      <v>80000</v>
    </oc>
    <nc r="D68">
      <v>40000</v>
    </nc>
  </rcc>
  <rcc rId="4308" sId="4" numFmtId="4">
    <oc r="D69">
      <v>60000</v>
    </oc>
    <nc r="D69">
      <v>40000</v>
    </nc>
  </rcc>
  <rcc rId="4309" sId="4" numFmtId="4">
    <oc r="D70">
      <v>60000</v>
    </oc>
    <nc r="D70">
      <v>40000</v>
    </nc>
  </rcc>
  <rcc rId="4310" sId="4" numFmtId="4">
    <oc r="D71">
      <v>60000</v>
    </oc>
    <nc r="D71">
      <v>40000</v>
    </nc>
  </rcc>
  <rcc rId="4311" sId="4" numFmtId="4">
    <oc r="D73">
      <v>20000</v>
    </oc>
    <nc r="D73">
      <v>40000</v>
    </nc>
  </rcc>
</revisions>
</file>

<file path=xl/revisions/revisionLog19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12" sId="6" numFmtId="4">
    <oc r="D53">
      <v>1300</v>
    </oc>
    <nc r="D53">
      <v>1200</v>
    </nc>
  </rcc>
  <rcc rId="4313" sId="6" numFmtId="4">
    <oc r="D54">
      <v>1300</v>
    </oc>
    <nc r="D54">
      <v>1200</v>
    </nc>
  </rcc>
  <rcc rId="4314" sId="6" numFmtId="4">
    <oc r="D55">
      <v>1300</v>
    </oc>
    <nc r="D55">
      <v>1200</v>
    </nc>
  </rcc>
  <rcc rId="4315" sId="6" numFmtId="4">
    <oc r="D56">
      <v>1300</v>
    </oc>
    <nc r="D56">
      <v>1200</v>
    </nc>
  </rcc>
  <rcc rId="4316" sId="6" numFmtId="4">
    <oc r="D57">
      <v>1300</v>
    </oc>
    <nc r="D57">
      <v>1200</v>
    </nc>
  </rcc>
  <rcc rId="4317" sId="6" numFmtId="4">
    <oc r="D62">
      <v>600</v>
    </oc>
    <nc r="D62">
      <v>500</v>
    </nc>
  </rcc>
  <rcc rId="4318" sId="6" numFmtId="4">
    <oc r="D63">
      <v>600</v>
    </oc>
    <nc r="D63">
      <v>500</v>
    </nc>
  </rcc>
</revisions>
</file>

<file path=xl/revisions/revisionLog19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19" sId="5" numFmtId="34">
    <oc r="J103">
      <v>4000000</v>
    </oc>
    <nc r="J103">
      <v>6000000</v>
    </nc>
  </rcc>
  <rcc rId="4320" sId="6" numFmtId="34">
    <oc r="H68">
      <f>115000</f>
    </oc>
    <nc r="H68">
      <v>30000</v>
    </nc>
  </rcc>
  <rcc rId="4321" sId="6" numFmtId="34">
    <oc r="H69">
      <f>115000</f>
    </oc>
    <nc r="H69">
      <v>30000</v>
    </nc>
  </rcc>
  <rcc rId="4322" sId="6" numFmtId="34">
    <oc r="H62">
      <f>153000</f>
    </oc>
    <nc r="H62">
      <v>120000</v>
    </nc>
  </rcc>
  <rcc rId="4323" sId="6" numFmtId="34">
    <oc r="H63">
      <f>153000</f>
    </oc>
    <nc r="H63">
      <v>120000</v>
    </nc>
  </rcc>
  <rcc rId="4324" sId="5" numFmtId="34">
    <oc r="H52">
      <f>5000*(1+CALC!$A$2)</f>
    </oc>
    <nc r="H52">
      <v>1000</v>
    </nc>
  </rcc>
  <rcc rId="4325" sId="5" numFmtId="34">
    <oc r="H80">
      <f>140000</f>
    </oc>
    <nc r="H80">
      <v>100000</v>
    </nc>
  </rcc>
  <rcc rId="4326" sId="6" numFmtId="4">
    <oc r="D40">
      <v>20000</v>
    </oc>
    <nc r="D40">
      <v>15000</v>
    </nc>
  </rcc>
  <rcc rId="4327" sId="6" numFmtId="34">
    <oc r="H53">
      <f>630000</f>
    </oc>
    <nc r="H53">
      <v>250000</v>
    </nc>
  </rcc>
  <rcc rId="4328" sId="6" numFmtId="34">
    <oc r="H54">
      <f>630000</f>
    </oc>
    <nc r="H54">
      <v>250000</v>
    </nc>
  </rcc>
  <rcc rId="4329" sId="6" numFmtId="34">
    <oc r="H55">
      <v>300000</v>
    </oc>
    <nc r="H55">
      <v>250000</v>
    </nc>
  </rcc>
  <rcc rId="4330" sId="6" numFmtId="34">
    <oc r="H56">
      <v>300000</v>
    </oc>
    <nc r="H56">
      <v>250000</v>
    </nc>
  </rcc>
  <rcc rId="4331" sId="6" numFmtId="34">
    <oc r="H57">
      <f>630000</f>
    </oc>
    <nc r="H57">
      <v>250000</v>
    </nc>
  </rcc>
  <rcc rId="4332" sId="6" numFmtId="4">
    <oc r="D53">
      <v>1200</v>
    </oc>
    <nc r="D53">
      <v>1100</v>
    </nc>
  </rcc>
  <rcc rId="4333" sId="6" numFmtId="4">
    <oc r="D54">
      <v>1200</v>
    </oc>
    <nc r="D54">
      <v>1100</v>
    </nc>
  </rcc>
  <rcc rId="4334" sId="6" numFmtId="4">
    <oc r="D55">
      <v>1200</v>
    </oc>
    <nc r="D55">
      <v>1100</v>
    </nc>
  </rcc>
  <rcc rId="4335" sId="6" numFmtId="4">
    <oc r="D56">
      <v>1200</v>
    </oc>
    <nc r="D56">
      <v>1100</v>
    </nc>
  </rcc>
  <rcc rId="4336" sId="6" numFmtId="4">
    <oc r="D57">
      <v>1200</v>
    </oc>
    <nc r="D57">
      <v>1100</v>
    </nc>
  </rcc>
  <rcc rId="4337" sId="6" numFmtId="4">
    <oc r="D62">
      <v>500</v>
    </oc>
    <nc r="D62">
      <v>400</v>
    </nc>
  </rcc>
  <rcc rId="4338" sId="6" numFmtId="4">
    <oc r="D63">
      <v>500</v>
    </oc>
    <nc r="D63">
      <v>400</v>
    </nc>
  </rcc>
  <rcc rId="4339" sId="6" numFmtId="4">
    <oc r="D68">
      <v>500</v>
    </oc>
    <nc r="D68">
      <v>400</v>
    </nc>
  </rcc>
  <rcc rId="4340" sId="6" numFmtId="4">
    <oc r="D69">
      <v>500</v>
    </oc>
    <nc r="D69">
      <v>400</v>
    </nc>
  </rcc>
  <rcc rId="4341" sId="7" numFmtId="4">
    <oc r="D56">
      <v>300</v>
    </oc>
    <nc r="D56">
      <v>100</v>
    </nc>
  </rcc>
  <rcc rId="4342" sId="5" numFmtId="34">
    <oc r="E52">
      <f>+D52/P52*(CALC!$A$4)</f>
    </oc>
    <nc r="E52">
      <v>100</v>
    </nc>
  </rcc>
  <rcc rId="4343" sId="5" numFmtId="4">
    <oc r="D98">
      <v>2000</v>
    </oc>
    <nc r="D98">
      <v>800</v>
    </nc>
  </rcc>
  <rcc rId="4344" sId="7" numFmtId="34">
    <oc r="E88">
      <v>400000</v>
    </oc>
    <nc r="E88">
      <v>300000</v>
    </nc>
  </rcc>
  <rcc rId="4345" sId="7" numFmtId="34">
    <oc r="E89">
      <v>400000</v>
    </oc>
    <nc r="E89">
      <v>300000</v>
    </nc>
  </rcc>
  <rcc rId="4346" sId="7" numFmtId="34">
    <oc r="E92">
      <v>400000</v>
    </oc>
    <nc r="E92">
      <v>300000</v>
    </nc>
  </rcc>
  <rcc rId="4347" sId="7" numFmtId="4">
    <oc r="D77">
      <v>35000</v>
    </oc>
    <nc r="D77">
      <v>30000</v>
    </nc>
  </rcc>
</revisions>
</file>

<file path=xl/revisions/revisionLog19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48" sId="4" numFmtId="4">
    <oc r="D66">
      <v>40000</v>
    </oc>
    <nc r="D66">
      <v>35000</v>
    </nc>
  </rcc>
  <rcc rId="4349" sId="4" numFmtId="4">
    <oc r="D67">
      <v>40000</v>
    </oc>
    <nc r="D67">
      <v>35000</v>
    </nc>
  </rcc>
  <rcc rId="4350" sId="4" numFmtId="4">
    <oc r="D68">
      <v>40000</v>
    </oc>
    <nc r="D68">
      <v>35000</v>
    </nc>
  </rcc>
  <rcc rId="4351" sId="4" numFmtId="4">
    <oc r="D69">
      <v>40000</v>
    </oc>
    <nc r="D69">
      <v>35000</v>
    </nc>
  </rcc>
  <rcc rId="4352" sId="4" numFmtId="4">
    <oc r="D70">
      <v>40000</v>
    </oc>
    <nc r="D70">
      <v>35000</v>
    </nc>
  </rcc>
  <rcc rId="4353" sId="4" numFmtId="4">
    <oc r="D71">
      <v>40000</v>
    </oc>
    <nc r="D71">
      <v>35000</v>
    </nc>
  </rcc>
  <rcc rId="4354" sId="4" numFmtId="4">
    <oc r="D72">
      <v>40000</v>
    </oc>
    <nc r="D72">
      <v>35000</v>
    </nc>
  </rcc>
  <rcc rId="4355" sId="4" numFmtId="4">
    <oc r="D73">
      <v>40000</v>
    </oc>
    <nc r="D73">
      <v>35000</v>
    </nc>
  </rcc>
  <rcc rId="4356" sId="4" numFmtId="4">
    <oc r="D74">
      <v>40000</v>
    </oc>
    <nc r="D74">
      <v>35000</v>
    </nc>
  </rcc>
  <rcc rId="4357" sId="4" numFmtId="34">
    <nc r="P70">
      <v>4.5199999999999996</v>
    </nc>
  </rcc>
  <rcc rId="4358" sId="4" numFmtId="34">
    <nc r="P71">
      <v>4.5199999999999996</v>
    </nc>
  </rcc>
  <rcc rId="4359" sId="4" numFmtId="34">
    <oc r="E70">
      <v>350000</v>
    </oc>
    <nc r="E70">
      <f>+D70/P70*(CALC!$A$4)</f>
    </nc>
  </rcc>
  <rcc rId="4360" sId="4" numFmtId="34">
    <oc r="E71">
      <v>350000</v>
    </oc>
    <nc r="E71">
      <f>+D71/P71*(CALC!$A$4)</f>
    </nc>
  </rcc>
  <rcc rId="4361" sId="4" numFmtId="4">
    <oc r="D75">
      <v>2000</v>
    </oc>
    <nc r="D75">
      <v>1000</v>
    </nc>
  </rcc>
  <rcc rId="4362" sId="6">
    <oc r="K150">
      <f>E148+F148+H148+K148+J148</f>
    </oc>
    <nc r="K150">
      <f>E148+F148+H148+K148+J148+N148</f>
    </nc>
  </rcc>
  <rcc rId="4363" sId="9" numFmtId="34">
    <oc r="A6">
      <v>1000000</v>
    </oc>
    <nc r="A6">
      <v>800000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9:C9">
    <dxf>
      <fill>
        <patternFill patternType="solid">
          <bgColor rgb="FFFFFF00"/>
        </patternFill>
      </fill>
    </dxf>
  </rfmt>
  <rfmt sheetId="1" sqref="A34:B34">
    <dxf>
      <fill>
        <patternFill patternType="solid">
          <bgColor rgb="FFFFFF00"/>
        </patternFill>
      </fill>
    </dxf>
  </rfmt>
  <rfmt sheetId="4" sqref="A13:C13">
    <dxf>
      <fill>
        <patternFill patternType="solid">
          <bgColor rgb="FFFFFF00"/>
        </patternFill>
      </fill>
    </dxf>
  </rfmt>
  <rfmt sheetId="4" sqref="A91:C91">
    <dxf>
      <fill>
        <patternFill patternType="solid">
          <bgColor rgb="FFFFFF00"/>
        </patternFill>
      </fill>
    </dxf>
  </rfmt>
  <rfmt sheetId="4" sqref="A89:C89">
    <dxf>
      <fill>
        <patternFill patternType="solid">
          <bgColor rgb="FFFFFF00"/>
        </patternFill>
      </fill>
    </dxf>
  </rfmt>
  <rfmt sheetId="4" sqref="A78:C78">
    <dxf>
      <fill>
        <patternFill patternType="solid">
          <bgColor rgb="FFFFFF00"/>
        </patternFill>
      </fill>
    </dxf>
  </rfmt>
  <rfmt sheetId="4" sqref="A82:C82">
    <dxf>
      <fill>
        <patternFill patternType="solid">
          <bgColor rgb="FFFFFF00"/>
        </patternFill>
      </fill>
    </dxf>
  </rfmt>
  <rfmt sheetId="4" sqref="A83:C83">
    <dxf>
      <fill>
        <patternFill patternType="solid">
          <bgColor rgb="FFFFFF00"/>
        </patternFill>
      </fill>
    </dxf>
  </rfmt>
  <rfmt sheetId="4" sqref="A79:C79">
    <dxf>
      <fill>
        <patternFill patternType="solid">
          <bgColor rgb="FFFFFF00"/>
        </patternFill>
      </fill>
    </dxf>
  </rfmt>
  <rfmt sheetId="4" sqref="A81:C81">
    <dxf>
      <fill>
        <patternFill patternType="solid">
          <bgColor rgb="FFFFFF00"/>
        </patternFill>
      </fill>
    </dxf>
  </rfmt>
  <rfmt sheetId="4" sqref="A80:C80">
    <dxf>
      <fill>
        <patternFill patternType="solid">
          <bgColor rgb="FFFFFF00"/>
        </patternFill>
      </fill>
    </dxf>
  </rfmt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6" sqref="A8:C8">
    <dxf>
      <fill>
        <patternFill patternType="solid">
          <bgColor rgb="FFFFFF00"/>
        </patternFill>
      </fill>
    </dxf>
  </rfmt>
  <rfmt sheetId="6" sqref="A7:C7">
    <dxf>
      <fill>
        <patternFill patternType="solid">
          <bgColor rgb="FFFFFF00"/>
        </patternFill>
      </fill>
    </dxf>
  </rfmt>
  <rfmt sheetId="6" sqref="A29:C29">
    <dxf>
      <fill>
        <patternFill patternType="solid">
          <bgColor rgb="FFFFFF00"/>
        </patternFill>
      </fill>
    </dxf>
  </rfmt>
</revisions>
</file>

<file path=xl/revisions/revisionLog20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64" sId="5" numFmtId="4">
    <oc r="D31">
      <v>40000</v>
    </oc>
    <nc r="D31">
      <v>30000</v>
    </nc>
  </rcc>
  <rcc rId="4365" sId="5" numFmtId="4">
    <oc r="D40">
      <v>40000</v>
    </oc>
    <nc r="D40">
      <v>30000</v>
    </nc>
  </rcc>
  <rcc rId="4366" sId="5" numFmtId="4">
    <oc r="D42">
      <v>40000</v>
    </oc>
    <nc r="D42">
      <v>30000</v>
    </nc>
  </rcc>
  <rcc rId="4367" sId="5" numFmtId="4">
    <oc r="D43">
      <v>40000</v>
    </oc>
    <nc r="D43">
      <v>30000</v>
    </nc>
  </rcc>
  <rcc rId="4368" sId="5" numFmtId="4">
    <oc r="D45">
      <v>40000</v>
    </oc>
    <nc r="D45">
      <v>30000</v>
    </nc>
  </rcc>
  <rcc rId="4369" sId="5" numFmtId="4">
    <oc r="D46">
      <v>40000</v>
    </oc>
    <nc r="D46">
      <v>30000</v>
    </nc>
  </rcc>
  <rcc rId="4370" sId="5" numFmtId="4">
    <oc r="D47">
      <v>40000</v>
    </oc>
    <nc r="D47">
      <v>30000</v>
    </nc>
  </rcc>
</revisions>
</file>

<file path=xl/revisions/revisionLog20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71" sId="3" numFmtId="4">
    <oc r="D9">
      <v>10000</v>
    </oc>
    <nc r="D9">
      <v>5000</v>
    </nc>
  </rcc>
  <rcc rId="4372" sId="3" numFmtId="4">
    <oc r="D15">
      <v>10000</v>
    </oc>
    <nc r="D15">
      <v>6000</v>
    </nc>
  </rcc>
  <rcc rId="4373" sId="4" numFmtId="4">
    <oc r="D91">
      <v>42000</v>
    </oc>
    <nc r="D91">
      <v>35000</v>
    </nc>
  </rcc>
  <rcc rId="4374" sId="4" numFmtId="4">
    <oc r="D92">
      <v>42000</v>
    </oc>
    <nc r="D92">
      <v>35000</v>
    </nc>
  </rcc>
  <rcc rId="4375" sId="4" numFmtId="4">
    <oc r="D93">
      <v>42000</v>
    </oc>
    <nc r="D93">
      <v>35000</v>
    </nc>
  </rcc>
  <rcc rId="4376" sId="4" numFmtId="4">
    <oc r="D94">
      <v>42000</v>
    </oc>
    <nc r="D94">
      <v>35000</v>
    </nc>
  </rcc>
</revisions>
</file>

<file path=xl/revisions/revisionLog20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77" sId="6" numFmtId="4">
    <oc r="D35">
      <v>10000</v>
    </oc>
    <nc r="D35">
      <v>12000</v>
    </nc>
  </rcc>
  <rcc rId="4378" sId="6">
    <oc r="H57">
      <v>250000</v>
    </oc>
    <nc r="H57">
      <f>250000+129024.85-242.79</f>
    </nc>
  </rcc>
</revisions>
</file>

<file path=xl/revisions/revisionLog20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79" sId="6" numFmtId="34">
    <oc r="H57">
      <f>250000+129024.85-242.79</f>
    </oc>
    <nc r="H57">
      <v>378782.06</v>
    </nc>
  </rcc>
</revisions>
</file>

<file path=xl/revisions/revisionLog20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80" sId="6">
    <oc r="H57">
      <v>378782.06</v>
    </oc>
    <nc r="H57">
      <f>265994+113</f>
    </nc>
  </rcc>
</revisions>
</file>

<file path=xl/revisions/revisionLog20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DF69299D-7752-4436-A45D-28F739CEE21B}" action="delete"/>
  <rdn rId="0" localSheetId="1" customView="1" name="Z_DF69299D_7752_4436_A45D_28F739CEE21B_.wvu.PrintArea" hidden="1" oldHidden="1">
    <formula>mayor!$A$1:$Q$42</formula>
    <oldFormula>mayor!$A$1:$Q$42</oldFormula>
  </rdn>
  <rdn rId="0" localSheetId="1" customView="1" name="Z_DF69299D_7752_4436_A45D_28F739CEE21B_.wvu.Cols" hidden="1" oldHidden="1">
    <formula>mayor!$P:$P</formula>
    <oldFormula>mayor!$P:$P</oldFormula>
  </rdn>
  <rdn rId="0" localSheetId="1" customView="1" name="Z_DF69299D_7752_4436_A45D_28F739CEE21B_.wvu.FilterData" hidden="1" oldHidden="1">
    <formula>mayor!$A$16:$C$16</formula>
    <oldFormula>mayor!$A$16:$C$16</oldFormula>
  </rdn>
  <rdn rId="0" localSheetId="2" customView="1" name="Z_DF69299D_7752_4436_A45D_28F739CEE21B_.wvu.PrintArea" hidden="1" oldHidden="1">
    <formula>income!$A$1:$Q$16</formula>
    <oldFormula>income!$A$1:$Q$16</oldFormula>
  </rdn>
  <rdn rId="0" localSheetId="2" customView="1" name="Z_DF69299D_7752_4436_A45D_28F739CEE21B_.wvu.Cols" hidden="1" oldHidden="1">
    <formula>income!$P:$P</formula>
    <oldFormula>income!$P:$P</oldFormula>
  </rdn>
  <rdn rId="0" localSheetId="3" customView="1" name="Z_DF69299D_7752_4436_A45D_28F739CEE21B_.wvu.PrintArea" hidden="1" oldHidden="1">
    <formula>workshop!$A$1:$Q$20</formula>
    <oldFormula>workshop!$A$1:$Q$20</oldFormula>
  </rdn>
  <rdn rId="0" localSheetId="3" customView="1" name="Z_DF69299D_7752_4436_A45D_28F739CEE21B_.wvu.Cols" hidden="1" oldHidden="1">
    <formula>workshop!$J:$J,workshop!$P:$P</formula>
    <oldFormula>workshop!$J:$J,workshop!$P:$P</oldFormula>
  </rdn>
  <rdn rId="0" localSheetId="4" customView="1" name="Z_DF69299D_7752_4436_A45D_28F739CEE21B_.wvu.PrintArea" hidden="1" oldHidden="1">
    <formula>'COMMUNITY SERV'!$A$1:$Q$105</formula>
    <oldFormula>'COMMUNITY SERV'!$A$1:$Q$105</oldFormula>
  </rdn>
  <rdn rId="0" localSheetId="5" customView="1" name="Z_DF69299D_7752_4436_A45D_28F739CEE21B_.wvu.PrintArea" hidden="1" oldHidden="1">
    <formula>EEM!$A$1:$Q$107</formula>
    <oldFormula>EEM!$A$1:$Q$107</oldFormula>
  </rdn>
  <rdn rId="0" localSheetId="6" customView="1" name="Z_DF69299D_7752_4436_A45D_28F739CEE21B_.wvu.PrintArea" hidden="1" oldHidden="1">
    <formula>CEM!$A$1:$Q$148</formula>
    <oldFormula>CEM!$A$1:$Q$148</oldFormula>
  </rdn>
  <rdn rId="0" localSheetId="6" customView="1" name="Z_DF69299D_7752_4436_A45D_28F739CEE21B_.wvu.Rows" hidden="1" oldHidden="1">
    <formula>CEM!$143:$143</formula>
    <oldFormula>CEM!$143:$143</oldFormula>
  </rdn>
  <rdn rId="0" localSheetId="6" customView="1" name="Z_DF69299D_7752_4436_A45D_28F739CEE21B_.wvu.Cols" hidden="1" oldHidden="1">
    <formula>CEM!$P:$P</formula>
    <oldFormula>CEM!$P:$P</oldFormula>
  </rdn>
  <rdn rId="0" localSheetId="7" customView="1" name="Z_DF69299D_7752_4436_A45D_28F739CEE21B_.wvu.PrintArea" hidden="1" oldHidden="1">
    <formula>MDC!$A$1:$Q$99</formula>
    <oldFormula>MDC!$A$1:$Q$99</oldFormula>
  </rdn>
  <rdn rId="0" localSheetId="7" customView="1" name="Z_DF69299D_7752_4436_A45D_28F739CEE21B_.wvu.Rows" hidden="1" oldHidden="1">
    <formula>MDC!$67:$73</formula>
    <oldFormula>MDC!$67:$73</oldFormula>
  </rdn>
  <rdn rId="0" localSheetId="7" customView="1" name="Z_DF69299D_7752_4436_A45D_28F739CEE21B_.wvu.Cols" hidden="1" oldHidden="1">
    <formula>MDC!$J:$J,MDC!$P:$P</formula>
    <oldFormula>MDC!$J:$J,MDC!$P:$P</oldFormula>
  </rdn>
  <rdn rId="0" localSheetId="8" customView="1" name="Z_DF69299D_7752_4436_A45D_28F739CEE21B_.wvu.PrintArea" hidden="1" oldHidden="1">
    <formula>BUDGET!$A$1:$B$76</formula>
    <oldFormula>BUDGET!$A$1:$B$76</oldFormula>
  </rdn>
  <rdn rId="0" localSheetId="8" customView="1" name="Z_DF69299D_7752_4436_A45D_28F739CEE21B_.wvu.Rows" hidden="1" oldHidden="1">
    <formula>BUDGET!$3:$7,BUDGET!$9:$9,BUDGET!$11:$11,BUDGET!$13:$16,BUDGET!$18:$21,BUDGET!$23:$23,BUDGET!$25:$28,BUDGET!$30:$36,BUDGET!$38:$38,BUDGET!$40:$40,BUDGET!$42:$47,BUDGET!$49:$49,BUDGET!$51:$54,BUDGET!$56:$59,BUDGET!$61:$66,BUDGET!$68:$68,BUDGET!$70:$70</formula>
    <oldFormula>BUDGET!$3:$7,BUDGET!$9:$9,BUDGET!$11:$11,BUDGET!$13:$16,BUDGET!$18:$21,BUDGET!$23:$23,BUDGET!$25:$28,BUDGET!$30:$36,BUDGET!$38:$38,BUDGET!$40:$40,BUDGET!$42:$47,BUDGET!$49:$49,BUDGET!$51:$54,BUDGET!$56:$59,BUDGET!$61:$66,BUDGET!$68:$68,BUDGET!$70:$70</oldFormula>
  </rdn>
  <rdn rId="0" localSheetId="8" customView="1" name="Z_DF69299D_7752_4436_A45D_28F739CEE21B_.wvu.Cols" hidden="1" oldHidden="1">
    <formula>BUDGET!$C:$S</formula>
    <oldFormula>BUDGET!$C:$S</oldFormula>
  </rdn>
  <rdn rId="0" localSheetId="10" customView="1" name="Z_DF69299D_7752_4436_A45D_28F739CEE21B_.wvu.FilterData" hidden="1" oldHidden="1">
    <formula>orig!$A$1:$AN$198</formula>
    <oldFormula>orig!$A$1:$AN$198</oldFormula>
  </rdn>
  <rdn rId="0" localSheetId="11" customView="1" name="Z_DF69299D_7752_4436_A45D_28F739CEE21B_.wvu.Cols" hidden="1" oldHidden="1">
    <formula>'1-10'!$B:$B</formula>
    <oldFormula>'1-10'!$B:$B</oldFormula>
  </rdn>
  <rdn rId="0" localSheetId="11" customView="1" name="Z_DF69299D_7752_4436_A45D_28F739CEE21B_.wvu.FilterData" hidden="1" oldHidden="1">
    <formula>'1-10'!$A$1:$AY$100</formula>
    <oldFormula>'1-10'!$A$1:$AY$100</oldFormula>
  </rdn>
  <rdn rId="0" localSheetId="12" customView="1" name="Z_DF69299D_7752_4436_A45D_28F739CEE21B_.wvu.Rows" hidden="1" oldHidden="1">
    <formula>'new veh 2012'!$96:$97</formula>
    <oldFormula>'new veh 2012'!$96:$97</oldFormula>
  </rdn>
  <rdn rId="0" localSheetId="12" customView="1" name="Z_DF69299D_7752_4436_A45D_28F739CEE21B_.wvu.FilterData" hidden="1" oldHidden="1">
    <formula>'new veh 2012'!$A$1:$J$95</formula>
    <oldFormula>'new veh 2012'!$A$1:$J$95</oldFormula>
  </rdn>
  <rdn rId="0" localSheetId="14" customView="1" name="Z_DF69299D_7752_4436_A45D_28F739CEE21B_.wvu.FilterData" hidden="1" oldHidden="1">
    <formula>stbk!$A$1:$G$199</formula>
    <oldFormula>stbk!$A$1:$G$199</oldFormula>
  </rdn>
  <rcv guid="{DF69299D-7752-4436-A45D-28F739CEE21B}" action="add"/>
</revisions>
</file>

<file path=xl/revisions/revisionLog20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7" sqref="A83:B83" start="0" length="2147483647">
    <dxf>
      <font>
        <color rgb="FFFF0000"/>
      </font>
    </dxf>
  </rfmt>
  <rcc rId="4405" sId="6">
    <nc r="A157" t="inlineStr">
      <is>
        <t>FDY 151L</t>
      </is>
    </nc>
  </rcc>
  <rfmt sheetId="5" sqref="A45:B45" start="0" length="2147483647">
    <dxf>
      <font>
        <color rgb="FFFF0000"/>
      </font>
    </dxf>
  </rfmt>
  <rfmt sheetId="5" sqref="A45:B45">
    <dxf>
      <fill>
        <patternFill>
          <bgColor rgb="FFFF0000"/>
        </patternFill>
      </fill>
    </dxf>
  </rfmt>
  <rcc rId="4406" sId="5" numFmtId="4">
    <oc r="D45">
      <v>30000</v>
    </oc>
    <nc r="D45">
      <v>0</v>
    </nc>
  </rcc>
  <rfmt sheetId="5" sqref="D46" start="0" length="2147483647">
    <dxf/>
  </rfmt>
  <rfmt sheetId="5" sqref="A45" start="0" length="2147483647">
    <dxf>
      <font>
        <color auto="1"/>
      </font>
    </dxf>
  </rfmt>
  <rcc rId="4407" sId="5" numFmtId="34">
    <oc r="F45">
      <v>23400</v>
    </oc>
    <nc r="F45"/>
  </rcc>
  <rcc rId="4408" sId="5">
    <oc r="G45">
      <f>CALC!$A$23*(I45/CEM!I$148)</f>
    </oc>
    <nc r="G45"/>
  </rcc>
  <rcc rId="4409" sId="5" numFmtId="34">
    <oc r="H45">
      <v>20000</v>
    </oc>
    <nc r="H45"/>
  </rcc>
  <rcc rId="4410" sId="5" numFmtId="34">
    <oc r="I45">
      <v>100000</v>
    </oc>
    <nc r="I45"/>
  </rcc>
  <rcc rId="4411" sId="5">
    <oc r="K45">
      <f>678*1.06</f>
    </oc>
    <nc r="K45"/>
  </rcc>
  <rcc rId="4412" sId="5">
    <oc r="M45">
      <f>SUM(E45:L45)</f>
    </oc>
    <nc r="M45"/>
  </rcc>
  <rfmt sheetId="5" sqref="B45" start="0" length="2147483647">
    <dxf>
      <font>
        <color auto="1"/>
      </font>
    </dxf>
  </rfmt>
  <rfmt sheetId="1" sqref="A22:B22">
    <dxf>
      <fill>
        <patternFill>
          <bgColor rgb="FFFF0000"/>
        </patternFill>
      </fill>
    </dxf>
  </rfmt>
  <rcc rId="4413" sId="1" numFmtId="4">
    <oc r="D22">
      <v>15000</v>
    </oc>
    <nc r="D22">
      <v>0</v>
    </nc>
  </rcc>
  <rcc rId="4414" sId="1">
    <oc r="F22">
      <f>23400*(1+CALC!$B$15)</f>
    </oc>
    <nc r="F22"/>
  </rcc>
  <rcc rId="4415" sId="1">
    <oc r="G22">
      <f>CALC!$A$23*(I22/CEM!I$148)</f>
    </oc>
    <nc r="G22"/>
  </rcc>
  <rcc rId="4416" sId="1" numFmtId="34">
    <oc r="H22">
      <v>30000</v>
    </oc>
    <nc r="H22"/>
  </rcc>
  <rcc rId="4417" sId="1">
    <oc r="I22">
      <f>10474.94</f>
    </oc>
    <nc r="I22"/>
  </rcc>
  <rcc rId="4418" sId="1">
    <oc r="K22">
      <f>474*1.06</f>
    </oc>
    <nc r="K22"/>
  </rcc>
  <rcc rId="4419" sId="1">
    <oc r="M22">
      <f>SUM(E22:L22)</f>
    </oc>
    <nc r="M22"/>
  </rcc>
  <rfmt sheetId="7" sqref="A83:B83" start="0" length="2147483647">
    <dxf>
      <font>
        <color auto="1"/>
      </font>
    </dxf>
  </rfmt>
  <rfmt sheetId="7" sqref="A83:B83">
    <dxf>
      <fill>
        <patternFill>
          <bgColor rgb="FFFF0000"/>
        </patternFill>
      </fill>
    </dxf>
  </rfmt>
</revisions>
</file>

<file path=xl/revisions/revisionLog20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20" sId="7" numFmtId="4">
    <oc r="D83">
      <v>30000</v>
    </oc>
    <nc r="D83"/>
  </rcc>
  <rcc rId="4421" sId="7" numFmtId="34">
    <oc r="F83">
      <v>23400</v>
    </oc>
    <nc r="F83"/>
  </rcc>
  <rcc rId="4422" sId="7">
    <oc r="G83">
      <f>CALC!$A$23*(I83/CEM!I$148)</f>
    </oc>
    <nc r="G83"/>
  </rcc>
  <rcc rId="4423" sId="7">
    <oc r="H83">
      <f>50000*(1+CALC!$A$2)</f>
    </oc>
    <nc r="H83"/>
  </rcc>
  <rcc rId="4424" sId="7">
    <oc r="I83">
      <f>902879/8*0.75</f>
    </oc>
    <nc r="I83"/>
  </rcc>
  <rcc rId="4425" sId="7">
    <oc r="K83">
      <f>9228*1.06</f>
    </oc>
    <nc r="K83"/>
  </rcc>
</revisions>
</file>

<file path=xl/revisions/revisionLog20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26" sId="1">
    <oc r="H9">
      <f>58000</f>
    </oc>
    <nc r="H9">
      <f>58000*(1+CALC!B14)</f>
    </nc>
  </rcc>
  <rcc rId="4427" sId="1">
    <oc r="H15">
      <f>53000</f>
    </oc>
    <nc r="H15">
      <f>53000*(1+CALC!B14)</f>
    </nc>
  </rcc>
  <rcc rId="4428" sId="1">
    <oc r="H16">
      <f>53000</f>
    </oc>
    <nc r="H16">
      <f>53000*(1+CALC!B14)</f>
    </nc>
  </rcc>
  <rcc rId="4429" sId="1">
    <oc r="H29">
      <v>25000</v>
    </oc>
    <nc r="H29">
      <f>25000*(1+CALC!B14)</f>
    </nc>
  </rcc>
  <rcc rId="4430" sId="1" numFmtId="34">
    <oc r="H34">
      <v>5000</v>
    </oc>
    <nc r="H34">
      <f>5000*(1+CALC!B14)</f>
    </nc>
  </rcc>
  <rcc rId="4431" sId="1" numFmtId="34">
    <oc r="H35">
      <v>50000</v>
    </oc>
    <nc r="H35">
      <f>50000*(1+CALC!B14)</f>
    </nc>
  </rcc>
</revisions>
</file>

<file path=xl/revisions/revisionLog20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32" sId="2" numFmtId="34">
    <oc r="H9">
      <v>35000</v>
    </oc>
    <nc r="H9">
      <f>35000*(1+CALC!B14)</f>
    </nc>
  </rcc>
  <rcc rId="4433" sId="2" numFmtId="34">
    <oc r="H10">
      <v>35000</v>
    </oc>
    <nc r="H10">
      <f>35000*(1+CALC!B14)</f>
    </nc>
  </rcc>
  <rcc rId="4434" sId="3" numFmtId="34">
    <oc r="H8">
      <v>35000</v>
    </oc>
    <nc r="H8">
      <f>35000*(1+CALC!B14)</f>
    </nc>
  </rcc>
  <rcc rId="4435" sId="3" numFmtId="34">
    <oc r="H9">
      <v>35000</v>
    </oc>
    <nc r="H9">
      <f>35000*(1+CALC!B14)</f>
    </nc>
  </rcc>
  <rcc rId="4436" sId="3" numFmtId="34">
    <oc r="H10">
      <v>35000</v>
    </oc>
    <nc r="H10">
      <f>35000*(1+CALC!B14)</f>
    </nc>
  </rcc>
  <rcc rId="4437" sId="3" numFmtId="34">
    <oc r="H15">
      <v>40000</v>
    </oc>
    <nc r="H15">
      <f>40000*(1+CALC!B14)</f>
    </nc>
  </rcc>
  <rcc rId="4438" sId="4" numFmtId="34">
    <oc r="H7">
      <v>35000</v>
    </oc>
    <nc r="H7">
      <f>35000*(1+CALC!B14)</f>
    </nc>
  </rcc>
  <rcc rId="4439" sId="4" numFmtId="34">
    <oc r="H13">
      <v>35000</v>
    </oc>
    <nc r="H13">
      <f>35000*(1+CALC!B14)</f>
    </nc>
  </rcc>
  <rcc rId="4440" sId="4" numFmtId="34">
    <oc r="H14">
      <v>35000</v>
    </oc>
    <nc r="H14">
      <f>35000*(1+CALC!B14)</f>
    </nc>
  </rcc>
  <rcc rId="4441" sId="4" numFmtId="34">
    <oc r="H20">
      <v>50000</v>
    </oc>
    <nc r="H20">
      <f>50000*(1+CALC!B14)</f>
    </nc>
  </rcc>
  <rcc rId="4442" sId="4" numFmtId="34">
    <oc r="H27">
      <v>50000</v>
    </oc>
    <nc r="H27">
      <f>50000*(1+CALC!B14)</f>
    </nc>
  </rcc>
  <rcc rId="4443" sId="4" numFmtId="34">
    <oc r="H21">
      <v>50000</v>
    </oc>
    <nc r="H21">
      <f>50000*(1+CALC!B14)</f>
    </nc>
  </rcc>
  <rcc rId="4444" sId="4">
    <oc r="H33">
      <f>8330*(1+CALC!$A$2)</f>
    </oc>
    <nc r="H33">
      <f>8330*(1+CALC!B14)</f>
    </nc>
  </rcc>
  <rcc rId="4445" sId="4">
    <oc r="H34">
      <f>13416*(1+CALC!$A$2)</f>
    </oc>
    <nc r="H34">
      <f>13416*(1+CALC!B14)</f>
    </nc>
  </rcc>
  <rcc rId="4446" sId="4">
    <oc r="H35">
      <f>6000*(1+CALC!$A$2)</f>
    </oc>
    <nc r="H35">
      <f>6000*(1+CALC!B14)</f>
    </nc>
  </rcc>
  <rcc rId="4447" sId="4">
    <oc r="H36">
      <f>6000*(1+CALC!$A$2)</f>
    </oc>
    <nc r="H36">
      <f>6000*(1+CALC!B14)</f>
    </nc>
  </rcc>
  <rcc rId="4448" sId="4">
    <oc r="H37">
      <f>6000*(1+CALC!$A$2)</f>
    </oc>
    <nc r="H37">
      <f>6000*(1+CALC!B14)</f>
    </nc>
  </rcc>
  <rcc rId="4449" sId="4">
    <oc r="H38">
      <f>10000*(1+CALC!$A$2)</f>
    </oc>
    <nc r="H38">
      <f>10000*(1+CALC!B14)</f>
    </nc>
  </rcc>
  <rcc rId="4450" sId="4">
    <oc r="H44">
      <f>5000*(1+CALC!$A$2)</f>
    </oc>
    <nc r="H44">
      <f>5000*(1+CALC!B$14)</f>
    </nc>
  </rcc>
  <rcc rId="4451" sId="4">
    <oc r="H45">
      <f>5000*(1+CALC!$A$2)</f>
    </oc>
    <nc r="H45">
      <f>5000*(1+CALC!B$14)</f>
    </nc>
  </rcc>
  <rcc rId="4452" sId="4">
    <oc r="H46">
      <f>5000*(1+CALC!$A$2)</f>
    </oc>
    <nc r="H46">
      <f>5000*(1+CALC!B$14)</f>
    </nc>
  </rcc>
  <rcc rId="4453" sId="4">
    <oc r="H47">
      <f>5000*(1+CALC!$A$2)</f>
    </oc>
    <nc r="H47">
      <f>5000*(1+CALC!B$14)</f>
    </nc>
  </rcc>
  <rcc rId="4454" sId="4">
    <oc r="H57">
      <f>5000*(1+CALC!$A$2)</f>
    </oc>
    <nc r="H57">
      <f>5000*(1+CALC!B14)</f>
    </nc>
  </rcc>
  <rcc rId="4455" sId="4" numFmtId="34">
    <oc r="H58">
      <v>25000</v>
    </oc>
    <nc r="H58">
      <f>25000*(1+CALC!B14)</f>
    </nc>
  </rcc>
  <rcc rId="4456" sId="4">
    <oc r="H66">
      <v>60000</v>
    </oc>
    <nc r="H66">
      <f>60000*(1+CALC!B$14)</f>
    </nc>
  </rcc>
  <rcc rId="4457" sId="4">
    <oc r="H67">
      <v>60000</v>
    </oc>
    <nc r="H67">
      <f>60000*(1+CALC!B$14)</f>
    </nc>
  </rcc>
  <rcc rId="4458" sId="4">
    <oc r="H68">
      <v>60000</v>
    </oc>
    <nc r="H68">
      <f>60000*(1+CALC!B$14)</f>
    </nc>
  </rcc>
  <rcc rId="4459" sId="4">
    <oc r="H69">
      <v>60000</v>
    </oc>
    <nc r="H69">
      <f>60000*(1+CALC!B$14)</f>
    </nc>
  </rcc>
  <rcc rId="4460" sId="4">
    <oc r="H70">
      <v>60000</v>
    </oc>
    <nc r="H70">
      <f>60000*(1+CALC!B$14)</f>
    </nc>
  </rcc>
  <rcc rId="4461" sId="4">
    <oc r="H71">
      <v>60000</v>
    </oc>
    <nc r="H71">
      <f>60000*(1+CALC!B$14)</f>
    </nc>
  </rcc>
  <rcc rId="4462" sId="4">
    <oc r="H72">
      <v>60000</v>
    </oc>
    <nc r="H72">
      <f>60000*(1+CALC!B$14)</f>
    </nc>
  </rcc>
  <rcc rId="4463" sId="4">
    <oc r="H73">
      <v>60000</v>
    </oc>
    <nc r="H73">
      <f>60000*(1+CALC!B$14)</f>
    </nc>
  </rcc>
  <rcc rId="4464" sId="4">
    <oc r="H74">
      <v>60000</v>
    </oc>
    <nc r="H74">
      <f>60000*(1+CALC!B$14)</f>
    </nc>
  </rcc>
  <rcc rId="4465" sId="4">
    <oc r="H75">
      <v>30000</v>
    </oc>
    <nc r="H75">
      <f>60000*(1+CALC!B$14)</f>
    </nc>
  </rcc>
  <rcc rId="4466" sId="4">
    <oc r="H80">
      <v>35000</v>
    </oc>
    <nc r="H80">
      <f>35000*(1+CALC!B$14)</f>
    </nc>
  </rcc>
  <rcc rId="4467" sId="4" numFmtId="34">
    <oc r="H81">
      <v>35000</v>
    </oc>
    <nc r="H81">
      <f>35000*(1+CALC!B$14)</f>
    </nc>
  </rcc>
  <rcc rId="4468" sId="4" numFmtId="34">
    <oc r="H82">
      <v>35000</v>
    </oc>
    <nc r="H82">
      <f>35000*(1+CALC!B$14)</f>
    </nc>
  </rcc>
  <rcc rId="4469" sId="4" numFmtId="34">
    <oc r="H83">
      <v>35000</v>
    </oc>
    <nc r="H83">
      <f>35000*(1+CALC!B$14)</f>
    </nc>
  </rcc>
  <rcc rId="4470" sId="4" numFmtId="34">
    <oc r="H84">
      <v>35000</v>
    </oc>
    <nc r="H84">
      <f>35000*(1+CALC!B$14)</f>
    </nc>
  </rcc>
  <rcc rId="4471" sId="4" numFmtId="34">
    <oc r="H85">
      <v>35000</v>
    </oc>
    <nc r="H85">
      <f>35000*(1+CALC!B$14)</f>
    </nc>
  </rcc>
  <rcc rId="4472" sId="4">
    <oc r="H91">
      <f>70000</f>
    </oc>
    <nc r="H91">
      <f>70000*(1+CALC!B$14)</f>
    </nc>
  </rcc>
  <rcc rId="4473" sId="4">
    <oc r="H92">
      <f>70000</f>
    </oc>
    <nc r="H92">
      <f>70000*(1+CALC!B$14)</f>
    </nc>
  </rcc>
  <rcc rId="4474" sId="4">
    <oc r="H93">
      <f>70000</f>
    </oc>
    <nc r="H93">
      <f>70000*(1+CALC!B$14)</f>
    </nc>
  </rcc>
  <rcc rId="4475" sId="4" numFmtId="34">
    <oc r="H94">
      <v>35000</v>
    </oc>
    <nc r="H94">
      <f>35000*(1+CALC!B$14)</f>
    </nc>
  </rcc>
  <rcc rId="4476" sId="4">
    <oc r="H99">
      <f>120000</f>
    </oc>
    <nc r="H99">
      <f>120000*(1+CALC!B$14)</f>
    </nc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7" sqref="A12:C12">
    <dxf>
      <fill>
        <patternFill patternType="solid">
          <bgColor rgb="FFFFFF00"/>
        </patternFill>
      </fill>
    </dxf>
  </rfmt>
</revisions>
</file>

<file path=xl/revisions/revisionLog2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77" sId="5">
    <oc r="H7">
      <f>58000</f>
    </oc>
    <nc r="H7">
      <f>58000*(1+CALC!B$14)</f>
    </nc>
  </rcc>
  <rcc rId="4478" sId="5" numFmtId="34">
    <oc r="H13">
      <v>40000</v>
    </oc>
    <nc r="H13">
      <f>40000*(1+CALC!B$14)</f>
    </nc>
  </rcc>
  <rcc rId="4479" sId="5" numFmtId="34">
    <oc r="H14">
      <v>40000</v>
    </oc>
    <nc r="H14">
      <f>40000*(1+CALC!B$14)</f>
    </nc>
  </rcc>
  <rcc rId="4480" sId="5" numFmtId="34">
    <oc r="H15">
      <v>40000</v>
    </oc>
    <nc r="H15">
      <f>40000*(1+CALC!B$14)</f>
    </nc>
  </rcc>
  <rcc rId="4481" sId="5" numFmtId="34">
    <oc r="H17">
      <v>40000</v>
    </oc>
    <nc r="H17">
      <f>40000*(1+CALC!B$14)</f>
    </nc>
  </rcc>
  <rcc rId="4482" sId="5" numFmtId="34">
    <oc r="H18">
      <v>40000</v>
    </oc>
    <nc r="H18">
      <f>40000*(1+CALC!B$14)</f>
    </nc>
  </rcc>
  <rcc rId="4483" sId="5" numFmtId="34">
    <oc r="H19">
      <v>40000</v>
    </oc>
    <nc r="H19">
      <f>40000*(1+CALC!B$14)</f>
    </nc>
  </rcc>
  <rcc rId="4484" sId="5" numFmtId="34">
    <oc r="H20">
      <v>40000</v>
    </oc>
    <nc r="H20">
      <f>40000*(1+CALC!B$14)</f>
    </nc>
  </rcc>
  <rcc rId="4485" sId="5" numFmtId="34">
    <oc r="H21">
      <v>40000</v>
    </oc>
    <nc r="H21">
      <f>40000*(1+CALC!B$14)</f>
    </nc>
  </rcc>
  <rcc rId="4486" sId="5" numFmtId="34">
    <oc r="H22">
      <v>40000</v>
    </oc>
    <nc r="H22">
      <f>40000*(1+CALC!B$14)</f>
    </nc>
  </rcc>
  <rcc rId="4487" sId="5">
    <oc r="H29">
      <f>8000*(1+CALC!$A$2)</f>
    </oc>
    <nc r="H29">
      <f>8000*(1+CALC!B$14)</f>
    </nc>
  </rcc>
  <rcc rId="4488" sId="5">
    <oc r="H31">
      <f>58000</f>
    </oc>
    <nc r="H31">
      <f>58000*(1+CALC!B$14)</f>
    </nc>
  </rcc>
  <rcc rId="4489" sId="5">
    <oc r="H32">
      <f>8000*(1+CALC!$A$2)</f>
    </oc>
    <nc r="H32">
      <f>8000*(1+CALC!B$14)</f>
    </nc>
  </rcc>
  <rcc rId="4490" sId="5" numFmtId="34">
    <oc r="H33">
      <v>10000</v>
    </oc>
    <nc r="H33">
      <f>10000*(1+CALC!B$14)</f>
    </nc>
  </rcc>
  <rcc rId="4491" sId="5" numFmtId="34">
    <oc r="H34">
      <v>10000</v>
    </oc>
    <nc r="H34">
      <f>10000*(1+CALC!B$14)</f>
    </nc>
  </rcc>
  <rcc rId="4492" sId="5" numFmtId="34">
    <oc r="H35">
      <v>10000</v>
    </oc>
    <nc r="H35">
      <f>10000*(1+CALC!B$14)</f>
    </nc>
  </rcc>
  <rcc rId="4493" sId="5" numFmtId="34">
    <oc r="H36">
      <v>10000</v>
    </oc>
    <nc r="H36">
      <f>10000*(1+CALC!B$14)</f>
    </nc>
  </rcc>
  <rcc rId="4494" sId="5" numFmtId="34">
    <oc r="H37">
      <v>30000</v>
    </oc>
    <nc r="H37">
      <f>30000*(1+CALC!B$14)</f>
    </nc>
  </rcc>
  <rcc rId="4495" sId="5" numFmtId="34">
    <oc r="H38">
      <v>30000</v>
    </oc>
    <nc r="H38">
      <f>30000*(1+CALC!B$14)</f>
    </nc>
  </rcc>
  <rcc rId="4496" sId="5">
    <oc r="H39">
      <f>58000</f>
    </oc>
    <nc r="H39">
      <f>58000*(1+CALC!B$14)</f>
    </nc>
  </rcc>
  <rcc rId="4497" sId="5">
    <oc r="H40">
      <f>58000</f>
    </oc>
    <nc r="H40">
      <f>58000*(1+CALC!B$14)</f>
    </nc>
  </rcc>
  <rcc rId="4498" sId="5" numFmtId="34">
    <oc r="H42">
      <v>20000</v>
    </oc>
    <nc r="H42">
      <f>20000*(1+CALC!B$14)</f>
    </nc>
  </rcc>
  <rcc rId="4499" sId="5" numFmtId="34">
    <oc r="H43">
      <v>20000</v>
    </oc>
    <nc r="H43">
      <f>20000*(1+CALC!B$14)</f>
    </nc>
  </rcc>
  <rcc rId="4500" sId="5" numFmtId="34">
    <oc r="H46">
      <v>20000</v>
    </oc>
    <nc r="H46">
      <f>20000*(1+CALC!B$14)</f>
    </nc>
  </rcc>
  <rcc rId="4501" sId="5">
    <oc r="H47">
      <f>58000</f>
    </oc>
    <nc r="H47">
      <f>58000*(1+CALC!B$14)</f>
    </nc>
  </rcc>
  <rcc rId="4502" sId="5" numFmtId="34">
    <oc r="H52">
      <v>1000</v>
    </oc>
    <nc r="H52">
      <f>1000*(1+CALC!B$14)</f>
    </nc>
  </rcc>
  <rcc rId="4503" sId="5">
    <oc r="H59">
      <f>50000*(1+CALC!$A$2)</f>
    </oc>
    <nc r="H59">
      <f>50000*(1+CALC!B$14)</f>
    </nc>
  </rcc>
  <rcc rId="4504" sId="5" numFmtId="34">
    <oc r="H66">
      <v>50000</v>
    </oc>
    <nc r="H66">
      <f>50000*(1+CALC!B$14)</f>
    </nc>
  </rcc>
  <rcc rId="4505" sId="5" numFmtId="34">
    <oc r="H67">
      <v>50000</v>
    </oc>
    <nc r="H67">
      <f>50000*(1+CALC!B$14)</f>
    </nc>
  </rcc>
  <rcc rId="4506" sId="5">
    <oc r="H73">
      <f>95000</f>
    </oc>
    <nc r="H73">
      <f>95000*(1+CALC!B$14)</f>
    </nc>
  </rcc>
  <rcc rId="4507" sId="5">
    <oc r="H74">
      <f>95000</f>
    </oc>
    <nc r="H74">
      <f>95000*(1+CALC!B$14)</f>
    </nc>
  </rcc>
  <rcc rId="4508" sId="5" numFmtId="34">
    <oc r="H80">
      <v>100000</v>
    </oc>
    <nc r="H80">
      <f>100000*(1+CALC!B$14)</f>
    </nc>
  </rcc>
  <rcc rId="4509" sId="5">
    <oc r="H86">
      <f>5000*(1+CALC!$A$2)</f>
    </oc>
    <nc r="H86">
      <f>5000*(1+CALC!B$14)</f>
    </nc>
  </rcc>
  <rcc rId="4510" sId="5">
    <oc r="H87">
      <f>5000*(1+CALC!$A$2)</f>
    </oc>
    <nc r="H87">
      <f>5000*(1+CALC!B$14)</f>
    </nc>
  </rcc>
  <rcc rId="4511" sId="5">
    <oc r="H88">
      <f>5000*(1+CALC!$A$2)</f>
    </oc>
    <nc r="H88">
      <f>5000*(1+CALC!B$14)</f>
    </nc>
  </rcc>
  <rcc rId="4512" sId="5">
    <oc r="H89">
      <f>5000*(1+CALC!$A$2)</f>
    </oc>
    <nc r="H89">
      <f>5000*(1+CALC!B$14)</f>
    </nc>
  </rcc>
  <rcc rId="4513" sId="5">
    <oc r="H90">
      <f>5000*(1+CALC!$A$2)</f>
    </oc>
    <nc r="H90">
      <f>5000*(1+CALC!B$14)</f>
    </nc>
  </rcc>
  <rcc rId="4514" sId="5">
    <oc r="H92">
      <f>5000*(1+CALC!$A$2)</f>
    </oc>
    <nc r="H92">
      <f>5000*(1+CALC!B$14)</f>
    </nc>
  </rcc>
  <rcc rId="4515" sId="5" numFmtId="34">
    <oc r="H98">
      <v>30000</v>
    </oc>
    <nc r="H98">
      <f>30000*(1+CALC!B$14)</f>
    </nc>
  </rcc>
</revisions>
</file>

<file path=xl/revisions/revisionLog2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16" sId="6" numFmtId="34">
    <oc r="H7">
      <v>35000</v>
    </oc>
    <nc r="H7">
      <f>35000*(1+CALC!B$14)</f>
    </nc>
  </rcc>
  <rcc rId="4517" sId="6" numFmtId="34">
    <oc r="H8">
      <v>35000</v>
    </oc>
    <nc r="H8">
      <f>35000*(1+CALC!B$14)</f>
    </nc>
  </rcc>
  <rcc rId="4518" sId="6" numFmtId="34">
    <oc r="H13">
      <v>35000</v>
    </oc>
    <nc r="H13">
      <f>35000*(1+CALC!B$14)</f>
    </nc>
  </rcc>
  <rcc rId="4519" sId="6" numFmtId="34">
    <oc r="H14">
      <v>35000</v>
    </oc>
    <nc r="H14">
      <f>35000*(1+CALC!B$14)</f>
    </nc>
  </rcc>
  <rcc rId="4520" sId="6" numFmtId="34">
    <oc r="H15">
      <v>35000</v>
    </oc>
    <nc r="H15">
      <f>35000*(1+CALC!B$14)</f>
    </nc>
  </rcc>
  <rcc rId="4521" sId="6" numFmtId="34">
    <oc r="H20">
      <v>40000</v>
    </oc>
    <nc r="H20">
      <f>40000*(1+CALC!B$14)</f>
    </nc>
  </rcc>
  <rcc rId="4522" sId="6" numFmtId="34">
    <oc r="H21">
      <v>40000</v>
    </oc>
    <nc r="H21">
      <f>40000*(1+CALC!B$14)</f>
    </nc>
  </rcc>
  <rcc rId="4523" sId="6" numFmtId="34">
    <oc r="H22">
      <v>40000</v>
    </oc>
    <nc r="H22">
      <f>40000*(1+CALC!B$14)</f>
    </nc>
  </rcc>
  <rcc rId="4524" sId="6" numFmtId="34">
    <oc r="H27">
      <v>40000</v>
    </oc>
    <nc r="H27">
      <f>40000*(1+CALC!B$14)</f>
    </nc>
  </rcc>
  <rcc rId="4525" sId="6" numFmtId="34">
    <oc r="H28">
      <v>40000</v>
    </oc>
    <nc r="H28">
      <f>40000*(1+CALC!B$14)</f>
    </nc>
  </rcc>
  <rcc rId="4526" sId="6" numFmtId="34">
    <oc r="H29">
      <v>40000</v>
    </oc>
    <nc r="H29">
      <f>40000*(1+CALC!B$14)</f>
    </nc>
  </rcc>
  <rcc rId="4527" sId="6">
    <oc r="H30">
      <f>7000</f>
    </oc>
    <nc r="H30">
      <f>40000*(1+CALC!B$14)</f>
    </nc>
  </rcc>
  <rcc rId="4528" sId="6">
    <oc r="H35">
      <f>95000</f>
    </oc>
    <nc r="H35">
      <f>95000*(1+CALC!B$14)</f>
    </nc>
  </rcc>
  <rcc rId="4529" sId="6">
    <oc r="H40">
      <f>95000</f>
    </oc>
    <nc r="H40">
      <f>95000*(1+CALC!B$14)</f>
    </nc>
  </rcc>
  <rcc rId="4530" sId="6">
    <oc r="H46">
      <f>95000</f>
    </oc>
    <nc r="H46">
      <f>95000*(1+CALC!B$14)</f>
    </nc>
  </rcc>
  <rcc rId="4531" sId="6">
    <oc r="H47">
      <f>95000</f>
    </oc>
    <nc r="H47">
      <f>95000*(1+CALC!B$14)</f>
    </nc>
  </rcc>
  <rcc rId="4532" sId="6" numFmtId="34">
    <oc r="H53">
      <v>250000</v>
    </oc>
    <nc r="H53">
      <f>250000*(1+CALC!B$14)</f>
    </nc>
  </rcc>
  <rcc rId="4533" sId="6" numFmtId="34">
    <oc r="H54">
      <v>250000</v>
    </oc>
    <nc r="H54">
      <f>250000*(1+CALC!B$14)</f>
    </nc>
  </rcc>
  <rcc rId="4534" sId="6" numFmtId="34">
    <oc r="H55">
      <v>250000</v>
    </oc>
    <nc r="H55">
      <f>250000*(1+CALC!B$14)</f>
    </nc>
  </rcc>
  <rcc rId="4535" sId="6" numFmtId="34">
    <oc r="H56">
      <v>250000</v>
    </oc>
    <nc r="H56">
      <f>250000*(1+CALC!B$14)</f>
    </nc>
  </rcc>
  <rcc rId="4536" sId="6">
    <oc r="H57">
      <f>265994+113</f>
    </oc>
    <nc r="H57">
      <f>265994*(1+CALC!B$14)</f>
    </nc>
  </rcc>
  <rcc rId="4537" sId="6" numFmtId="34">
    <oc r="H62">
      <v>120000</v>
    </oc>
    <nc r="H62">
      <f>120000*(1+CALC!B$14)</f>
    </nc>
  </rcc>
  <rcc rId="4538" sId="6" numFmtId="34">
    <oc r="H63">
      <v>120000</v>
    </oc>
    <nc r="H63">
      <f>120000*(1+CALC!B$14)</f>
    </nc>
  </rcc>
  <rcc rId="4539" sId="6" numFmtId="34">
    <oc r="H68">
      <v>30000</v>
    </oc>
    <nc r="H68">
      <f>30000*(1+CALC!B$14)</f>
    </nc>
  </rcc>
  <rcc rId="4540" sId="6" numFmtId="34">
    <oc r="H69">
      <v>30000</v>
    </oc>
    <nc r="H69">
      <f>30000*(1+CALC!B$14)</f>
    </nc>
  </rcc>
  <rcc rId="4541" sId="6">
    <oc r="H74">
      <f>95000</f>
    </oc>
    <nc r="H74">
      <f>95000*(1+CALC!B$14)</f>
    </nc>
  </rcc>
  <rcc rId="4542" sId="6">
    <oc r="H75">
      <f>95000</f>
    </oc>
    <nc r="H75">
      <f>95000*(1+CALC!B$14)</f>
    </nc>
  </rcc>
  <rcc rId="4543" sId="6">
    <oc r="H89">
      <f>3000*(1+CALC!$A$2)</f>
    </oc>
    <nc r="H89">
      <f>3000*(1+CALC!B$14)</f>
    </nc>
  </rcc>
  <rcc rId="4544" sId="6">
    <oc r="H90">
      <f>7000*(1+CALC!$A$2)</f>
    </oc>
    <nc r="H90">
      <f>3000*(1+CALC!B$14)</f>
    </nc>
  </rcc>
  <rcc rId="4545" sId="6">
    <oc r="H91">
      <f>3100*(1+CALC!$A$2)</f>
    </oc>
    <nc r="H91">
      <f>3000*(1+CALC!B$14)</f>
    </nc>
  </rcc>
  <rcc rId="4546" sId="6">
    <oc r="H92">
      <f>3100*(1+CALC!$A$2)</f>
    </oc>
    <nc r="H92">
      <f>3000*(1+CALC!B$14)</f>
    </nc>
  </rcc>
  <rcc rId="4547" sId="6">
    <oc r="H93">
      <f>3100*(1+CALC!$A$2)</f>
    </oc>
    <nc r="H93">
      <f>3000*(1+CALC!B$14)</f>
    </nc>
  </rcc>
  <rcc rId="4548" sId="6">
    <oc r="H94">
      <f>3100*(1+CALC!$A$2)</f>
    </oc>
    <nc r="H94">
      <f>3000*(1+CALC!B$14)</f>
    </nc>
  </rcc>
  <rcc rId="4549" sId="6">
    <oc r="H99">
      <f>2000*(1+CALC!$A$2)</f>
    </oc>
    <nc r="H99">
      <f>2000*(1+CALC!B$14)</f>
    </nc>
  </rcc>
  <rcc rId="4550" sId="6">
    <oc r="H100">
      <f>2000*(1+CALC!$A$2)</f>
    </oc>
    <nc r="H100">
      <f>2000*(1+CALC!B$14)</f>
    </nc>
  </rcc>
  <rcc rId="4551" sId="6">
    <oc r="H101">
      <f>2000*(1+CALC!$A$2)</f>
    </oc>
    <nc r="H101">
      <f>2000*(1+CALC!B$14)</f>
    </nc>
  </rcc>
  <rcc rId="4552" sId="6">
    <oc r="H102">
      <f>2000*(1+CALC!$A$2)</f>
    </oc>
    <nc r="H102">
      <f>2000*(1+CALC!B$14)</f>
    </nc>
  </rcc>
  <rcc rId="4553" sId="6">
    <oc r="H103">
      <f>2000*(1+CALC!$A$2)</f>
    </oc>
    <nc r="H103">
      <f>2000*(1+CALC!B$14)</f>
    </nc>
  </rcc>
  <rcc rId="4554" sId="6">
    <oc r="H111">
      <f>5000*(1+CALC!$A$2)</f>
    </oc>
    <nc r="H111">
      <f>5000*(1+CALC!B$14)</f>
    </nc>
  </rcc>
  <rcc rId="4555" sId="6">
    <oc r="H112">
      <f>3100*(1+CALC!$A$2)</f>
    </oc>
    <nc r="H112">
      <f>3100*(1+CALC!B$14)</f>
    </nc>
  </rcc>
  <rcc rId="4556" sId="6">
    <oc r="H113">
      <f>3100*(1+CALC!$A$2)</f>
    </oc>
    <nc r="H113">
      <f>3100*(1+CALC!B$14)</f>
    </nc>
  </rcc>
  <rcc rId="4557" sId="6">
    <oc r="H118">
      <f>1500*(1+CALC!$A$2)</f>
    </oc>
    <nc r="H118">
      <f>1500*(1+CALC!B$14)</f>
    </nc>
  </rcc>
  <rcc rId="4558" sId="6">
    <oc r="H119">
      <f>1500*(1+CALC!$A$2)</f>
    </oc>
    <nc r="H119">
      <f>1500*(1+CALC!B$14)</f>
    </nc>
  </rcc>
  <rcc rId="4559" sId="6">
    <oc r="H121">
      <f>1500*(1+CALC!$A$2)</f>
    </oc>
    <nc r="H121">
      <f>1500*(1+CALC!B$14)</f>
    </nc>
  </rcc>
  <rcc rId="4560" sId="6">
    <oc r="H122">
      <f>1500*(1+CALC!$A$2)</f>
    </oc>
    <nc r="H122">
      <f>1500*(1+CALC!B$14)</f>
    </nc>
  </rcc>
  <rcc rId="4561" sId="6">
    <oc r="H123">
      <f>1500*(1+CALC!$A$2)</f>
    </oc>
    <nc r="H123">
      <f>1500*(1+CALC!B$14)</f>
    </nc>
  </rcc>
  <rcc rId="4562" sId="6">
    <oc r="H130">
      <f>8000*(1+CALC!$A$2)</f>
    </oc>
    <nc r="H130">
      <f>8000*(1+CALC!B$14)</f>
    </nc>
  </rcc>
  <rcc rId="4563" sId="7" numFmtId="34">
    <oc r="H7">
      <v>35000</v>
    </oc>
    <nc r="H7">
      <f>35000*(1+CALC!B$14)</f>
    </nc>
  </rcc>
  <rcc rId="4564" sId="7" numFmtId="34">
    <oc r="H8">
      <v>35000</v>
    </oc>
    <nc r="H8">
      <f>35000*(1+CALC!B$14)</f>
    </nc>
  </rcc>
  <rcc rId="4565" sId="7" numFmtId="34">
    <oc r="H9">
      <v>35000</v>
    </oc>
    <nc r="H9">
      <f>35000*(1+CALC!B$14)</f>
    </nc>
  </rcc>
  <rcc rId="4566" sId="7" numFmtId="34">
    <oc r="H10">
      <v>35000</v>
    </oc>
    <nc r="H10">
      <f>35000*(1+CALC!B$14)</f>
    </nc>
  </rcc>
  <rcc rId="4567" sId="7" numFmtId="34">
    <oc r="H11">
      <v>35000</v>
    </oc>
    <nc r="H11">
      <f>35000*(1+CALC!B$14)</f>
    </nc>
  </rcc>
  <rcc rId="4568" sId="7" numFmtId="34">
    <oc r="H12">
      <v>35000</v>
    </oc>
    <nc r="H12">
      <f>35000*(1+CALC!B$14)</f>
    </nc>
  </rcc>
  <rcc rId="4569" sId="7" numFmtId="34">
    <oc r="H13">
      <v>35000</v>
    </oc>
    <nc r="H13">
      <f>35000*(1+CALC!B$14)</f>
    </nc>
  </rcc>
  <rcc rId="4570" sId="7" numFmtId="34">
    <oc r="H14">
      <v>35000</v>
    </oc>
    <nc r="H14">
      <f>35000*(1+CALC!B$14)</f>
    </nc>
  </rcc>
  <rcc rId="4571" sId="7" numFmtId="34">
    <oc r="H15">
      <v>35000</v>
    </oc>
    <nc r="H15">
      <f>35000*(1+CALC!B$14)</f>
    </nc>
  </rcc>
  <rcc rId="4572" sId="7" numFmtId="34">
    <oc r="H16">
      <v>35000</v>
    </oc>
    <nc r="H16">
      <f>35000*(1+CALC!B$14)</f>
    </nc>
  </rcc>
  <rcc rId="4573" sId="7" numFmtId="34">
    <oc r="H22">
      <v>35000</v>
    </oc>
    <nc r="H22">
      <f>35000*(1+CALC!B$14)</f>
    </nc>
  </rcc>
  <rcc rId="4574" sId="7" numFmtId="34">
    <oc r="H23">
      <v>35000</v>
    </oc>
    <nc r="H23">
      <f>35000*(1+CALC!B$14)</f>
    </nc>
  </rcc>
  <rcc rId="4575" sId="7" numFmtId="34">
    <oc r="H24">
      <v>35000</v>
    </oc>
    <nc r="H24">
      <f>35000*(1+CALC!B$14)</f>
    </nc>
  </rcc>
  <rcc rId="4576" sId="7">
    <oc r="H29">
      <f>70000</f>
    </oc>
    <nc r="H29">
      <f>70000*(1+CALC!B$14)</f>
    </nc>
  </rcc>
  <rcc rId="4577" sId="7">
    <oc r="H34">
      <f>95000</f>
    </oc>
    <nc r="H34">
      <f>95000*(1+CALC!B$14)</f>
    </nc>
  </rcc>
  <rcc rId="4578" sId="7">
    <oc r="H39">
      <f>95000</f>
    </oc>
    <nc r="H39">
      <f>95000*(1+CALC!B$14)</f>
    </nc>
  </rcc>
  <rcc rId="4579" sId="7">
    <oc r="H44">
      <f>95000</f>
    </oc>
    <nc r="H44">
      <f>95000*(1+CALC!B$14)</f>
    </nc>
  </rcc>
  <rcc rId="4580" sId="7">
    <oc r="H56">
      <f>5000*(1+CALC!$A$2)</f>
    </oc>
    <nc r="H56">
      <f>5000*(1+CALC!B$14)</f>
    </nc>
  </rcc>
  <rcc rId="4581" sId="7">
    <oc r="H62">
      <f>40000*(1+CALC!$A$2)</f>
    </oc>
    <nc r="H62">
      <f>40000*(1+CALC!B$14)</f>
    </nc>
  </rcc>
  <rcc rId="4582" sId="7">
    <oc r="H77">
      <f>55000*(1+CALC!$A$2)</f>
    </oc>
    <nc r="H77">
      <f>55000*(1+CALC!B$14)</f>
    </nc>
  </rcc>
  <rcc rId="4583" sId="7" numFmtId="34">
    <oc r="H88">
      <v>30000</v>
    </oc>
    <nc r="H88">
      <f>30000*(1+CALC!B$14)</f>
    </nc>
  </rcc>
  <rcc rId="4584" sId="7" numFmtId="34">
    <oc r="H89">
      <v>30000</v>
    </oc>
    <nc r="H89">
      <f>30000*(1+CALC!B$14)</f>
    </nc>
  </rcc>
  <rcc rId="4585" sId="7" numFmtId="34">
    <oc r="H90">
      <v>30000</v>
    </oc>
    <nc r="H90">
      <f>30000*(1+CALC!B$14)</f>
    </nc>
  </rcc>
  <rcc rId="4586" sId="7" numFmtId="34">
    <oc r="H91">
      <v>30000</v>
    </oc>
    <nc r="H91">
      <f>30000*(1+CALC!B$14)</f>
    </nc>
  </rcc>
  <rcc rId="4587" sId="7" numFmtId="34">
    <oc r="H92">
      <v>30000</v>
    </oc>
    <nc r="H92">
      <f>30000*(1+CALC!B$14)</f>
    </nc>
  </rcc>
</revisions>
</file>

<file path=xl/revisions/revisionLog2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88" sId="9" numFmtId="14">
    <oc r="B14">
      <v>4.9000000000000002E-2</v>
    </oc>
    <nc r="B14">
      <v>4.3999999999999997E-2</v>
    </nc>
  </rcc>
  <rcc rId="4589" sId="1">
    <oc r="K8">
      <f>678*1.06</f>
    </oc>
    <nc r="K8">
      <f>678*(1+CALC!B$13)</f>
    </nc>
  </rcc>
  <rcc rId="4590" sId="1">
    <oc r="K9">
      <f>678*1.06</f>
    </oc>
    <nc r="K9">
      <f>678*(1+CALC!B$13)</f>
    </nc>
  </rcc>
  <rcc rId="4591" sId="1">
    <oc r="K15">
      <f>1110*1.06</f>
    </oc>
    <nc r="K15">
      <f>1110*(1+CALC!B$14)</f>
    </nc>
  </rcc>
  <rcc rId="4592" sId="1">
    <oc r="K16">
      <f>1110*1.06</f>
    </oc>
    <nc r="K16">
      <f>1110*(1+CALC!B$14)</f>
    </nc>
  </rcc>
  <rfmt sheetId="1" sqref="K17" start="0" length="0">
    <dxf>
      <fill>
        <patternFill patternType="solid">
          <bgColor rgb="FF7030A0"/>
        </patternFill>
      </fill>
    </dxf>
  </rfmt>
  <rcc rId="4593" sId="1">
    <oc r="K28">
      <f>1110*1.06</f>
    </oc>
    <nc r="K28">
      <f>1110*(1+CALC!B$14)</f>
    </nc>
  </rcc>
  <rcc rId="4594" sId="1">
    <oc r="K29">
      <f>1110*1.06</f>
    </oc>
    <nc r="K29">
      <f>1110*(1+CALC!B$14)</f>
    </nc>
  </rcc>
  <rcc rId="4595" sId="1">
    <oc r="K34">
      <f>1110*1.06</f>
    </oc>
    <nc r="K34">
      <f>1110*(1+CALC!B$14)</f>
    </nc>
  </rcc>
  <rcc rId="4596" sId="1">
    <oc r="K35">
      <f>1110*1.06</f>
    </oc>
    <nc r="K35">
      <f>1110*(1+CALC!B$14)</f>
    </nc>
  </rcc>
</revisions>
</file>

<file path=xl/revisions/revisionLog2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97" sId="2">
    <oc r="K9">
      <f>678*1.06</f>
    </oc>
    <nc r="K9">
      <f>678*(1+CALC!B$14)</f>
    </nc>
  </rcc>
  <rcc rId="4598" sId="2">
    <oc r="K10">
      <f>678*1.06</f>
    </oc>
    <nc r="K10">
      <f>678*(1+CALC!B$14)</f>
    </nc>
  </rcc>
</revisions>
</file>

<file path=xl/revisions/revisionLog2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99" sId="3">
    <oc r="K8">
      <f>678*1.06</f>
    </oc>
    <nc r="K8">
      <f>678*(1+CALC!B$14)</f>
    </nc>
  </rcc>
  <rcc rId="4600" sId="3" odxf="1" dxf="1">
    <oc r="K9">
      <f>678*1.06</f>
    </oc>
    <nc r="K9">
      <f>678*(1+CALC!B$14)</f>
    </nc>
    <odxf>
      <fill>
        <patternFill patternType="none">
          <bgColor indexed="65"/>
        </patternFill>
      </fill>
    </odxf>
    <ndxf>
      <fill>
        <patternFill patternType="solid">
          <bgColor rgb="FF7030A0"/>
        </patternFill>
      </fill>
    </ndxf>
  </rcc>
  <rcc rId="4601" sId="3">
    <oc r="K10">
      <f>678*1.06</f>
    </oc>
    <nc r="K10">
      <f>678*(1+CALC!B$14)</f>
    </nc>
  </rcc>
  <rcc rId="4602" sId="3">
    <oc r="K15">
      <f>678*1.06</f>
    </oc>
    <nc r="K15">
      <f>678*(1+CALC!B$14)</f>
    </nc>
  </rcc>
</revisions>
</file>

<file path=xl/revisions/revisionLog2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03" sId="4">
    <oc r="K82">
      <f>678*1.06</f>
    </oc>
    <nc r="K82">
      <f>678*(1+CALC!B$14)</f>
    </nc>
  </rcc>
  <rcc rId="4604" sId="4">
    <oc r="K83">
      <f>678*1.06</f>
    </oc>
    <nc r="K83">
      <f>678*(1+CALC!B$14)</f>
    </nc>
  </rcc>
  <rcc rId="4605" sId="4">
    <oc r="K84">
      <f>678*1.06</f>
    </oc>
    <nc r="K84">
      <f>678*(1+CALC!B$14)</f>
    </nc>
  </rcc>
  <rcc rId="4606" sId="4">
    <oc r="K85">
      <f>678*1.06</f>
    </oc>
    <nc r="K85">
      <f>678*(1+CALC!B$14)</f>
    </nc>
  </rcc>
  <rcc rId="4607" sId="4">
    <oc r="K91">
      <f>2460*1.1</f>
    </oc>
    <nc r="K91">
      <f>2460*(1+CALC!B$14)</f>
    </nc>
  </rcc>
  <rcc rId="4608" sId="4">
    <oc r="K92">
      <f>2460*1.1</f>
    </oc>
    <nc r="K92">
      <f>2460*(1+CALC!B$14)</f>
    </nc>
  </rcc>
  <rcc rId="4609" sId="4">
    <oc r="K93">
      <f>2460*1.1</f>
    </oc>
    <nc r="K93">
      <f>2460*(1+CALC!B$14)</f>
    </nc>
  </rcc>
  <rcc rId="4610" sId="4">
    <oc r="K94">
      <f>3324*1.06</f>
    </oc>
    <nc r="K94">
      <f>3324*(1+CALC!B$14)</f>
    </nc>
  </rcc>
  <rcc rId="4611" sId="4">
    <oc r="K99">
      <f>38250*1.06</f>
    </oc>
    <nc r="K99">
      <f>38250*(1+CALC!B$14)</f>
    </nc>
  </rcc>
  <rcc rId="4612" sId="4">
    <oc r="K7">
      <f>678*1.06</f>
    </oc>
    <nc r="K7">
      <f>678*(1+CALC!B$14)</f>
    </nc>
  </rcc>
  <rcc rId="4613" sId="4">
    <oc r="K13">
      <f>1110*1.06</f>
    </oc>
    <nc r="K13">
      <f>1110*(1+CALC!B$14)</f>
    </nc>
  </rcc>
  <rcc rId="4614" sId="4">
    <oc r="K20">
      <f>1716*1.06</f>
    </oc>
    <nc r="K20">
      <f>1716*(1+CALC!B$14)</f>
    </nc>
  </rcc>
  <rcc rId="4615" sId="4">
    <oc r="K27">
      <f>2460*1.06</f>
    </oc>
    <nc r="K27">
      <f>2460*(1+CALC!B$14)</f>
    </nc>
  </rcc>
  <rcc rId="4616" sId="4">
    <oc r="K33">
      <f>258*1.06</f>
    </oc>
    <nc r="K33">
      <f>258*(1+CALC!B$14)</f>
    </nc>
  </rcc>
  <rcc rId="4617" sId="4">
    <oc r="K34">
      <f>258*1.06</f>
    </oc>
    <nc r="K34">
      <f>258*(1+CALC!B$14)</f>
    </nc>
  </rcc>
  <rcc rId="4618" sId="4">
    <oc r="K35">
      <f>258*1.06</f>
    </oc>
    <nc r="K35">
      <f>258*(1+CALC!B$14)</f>
    </nc>
  </rcc>
  <rcc rId="4619" sId="4" numFmtId="34">
    <oc r="K36">
      <v>390</v>
    </oc>
    <nc r="K36">
      <f>390*(1+CALC!B$14)</f>
    </nc>
  </rcc>
  <rcc rId="4620" sId="4">
    <oc r="K37">
      <f>258*1.1</f>
    </oc>
    <nc r="K37">
      <f>258*(1+CALC!B$14)</f>
    </nc>
  </rcc>
  <rcc rId="4621" sId="4">
    <oc r="K38">
      <f>258*1.1</f>
    </oc>
    <nc r="K38">
      <f>258*(1+CALC!B$14)</f>
    </nc>
  </rcc>
  <rcc rId="4622" sId="4" numFmtId="34">
    <oc r="K44">
      <v>468</v>
    </oc>
    <nc r="K44">
      <f>468*(1+CALC!B$14)</f>
    </nc>
  </rcc>
  <rcc rId="4623" sId="4">
    <oc r="K45">
      <f>354*1.06</f>
    </oc>
    <nc r="K45">
      <f>354*(1+CALC!B$14)</f>
    </nc>
  </rcc>
  <rcc rId="4624" sId="1">
    <oc r="K28">
      <f>1110*(1+CALC!B$14)</f>
    </oc>
    <nc r="K28">
      <f>1110*(1+CALC!B$13)</f>
    </nc>
  </rcc>
  <rcc rId="4625" sId="1">
    <oc r="K34">
      <f>1110*(1+CALC!B$14)</f>
    </oc>
    <nc r="K34">
      <f>1110*(1+CALC!B$13)</f>
    </nc>
  </rcc>
  <rcc rId="4626" sId="1">
    <oc r="K35">
      <f>1110*(1+CALC!B$14)</f>
    </oc>
    <nc r="K35">
      <f>1110*(1+CALC!B$13)</f>
    </nc>
  </rcc>
</revisions>
</file>

<file path=xl/revisions/revisionLog2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27" sId="2">
    <oc r="K9">
      <f>678*(1+CALC!B$14)</f>
    </oc>
    <nc r="K9">
      <f>678*(1+CALC!B$13)</f>
    </nc>
  </rcc>
  <rcc rId="4628" sId="2">
    <oc r="K10">
      <f>678*(1+CALC!B$14)</f>
    </oc>
    <nc r="K10">
      <f>678*(1+CALC!B$13)</f>
    </nc>
  </rcc>
  <rcc rId="4629" sId="3">
    <oc r="K8">
      <f>678*(1+CALC!B$14)</f>
    </oc>
    <nc r="K8">
      <f>678*(1+CALC!B$13)</f>
    </nc>
  </rcc>
  <rcc rId="4630" sId="3">
    <oc r="K9">
      <f>678*(1+CALC!B$14)</f>
    </oc>
    <nc r="K9">
      <f>678*(1+CALC!B$13)</f>
    </nc>
  </rcc>
  <rcc rId="4631" sId="3">
    <oc r="K10">
      <f>678*(1+CALC!B$14)</f>
    </oc>
    <nc r="K10">
      <f>678*(1+CALC!B$13)</f>
    </nc>
  </rcc>
  <rcc rId="4632" sId="3">
    <oc r="K15">
      <f>678*(1+CALC!B$14)</f>
    </oc>
    <nc r="K15">
      <f>678*(1+CALC!B$13)</f>
    </nc>
  </rcc>
</revisions>
</file>

<file path=xl/revisions/revisionLog2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33" sId="4">
    <oc r="K7">
      <f>678*(1+CALC!B$14)</f>
    </oc>
    <nc r="K7">
      <f>678*(1+CALC!B$13)</f>
    </nc>
  </rcc>
  <rcc rId="4634" sId="4">
    <oc r="K13">
      <f>1110*(1+CALC!B$14)</f>
    </oc>
    <nc r="K13">
      <f>1110*(1+CALC!B$13)</f>
    </nc>
  </rcc>
  <rcc rId="4635" sId="4" odxf="1" dxf="1">
    <oc r="K14">
      <f>1110*1.06</f>
    </oc>
    <nc r="K14">
      <f>1110*(1+CALC!B$13)</f>
    </nc>
    <odxf>
      <fill>
        <patternFill>
          <bgColor rgb="FF7030A0"/>
        </patternFill>
      </fill>
    </odxf>
    <ndxf>
      <fill>
        <patternFill>
          <bgColor theme="0"/>
        </patternFill>
      </fill>
    </ndxf>
  </rcc>
  <rcc rId="4636" sId="4">
    <oc r="K20">
      <f>1716*(1+CALC!B$14)</f>
    </oc>
    <nc r="K20">
      <f>1716*(1+CALC!B$13)</f>
    </nc>
  </rcc>
  <rcc rId="4637" sId="4">
    <oc r="K21">
      <f>1932*1.06</f>
    </oc>
    <nc r="K21">
      <f>1932*(1+CALC!B$13)</f>
    </nc>
  </rcc>
  <rcc rId="4638" sId="4">
    <oc r="K27">
      <f>2460*(1+CALC!B$14)</f>
    </oc>
    <nc r="K27">
      <f>2460*(1+CALC!B$13)</f>
    </nc>
  </rcc>
  <rcc rId="4639" sId="4">
    <oc r="K33">
      <f>258*(1+CALC!B$14)</f>
    </oc>
    <nc r="K33">
      <f>258*(1+CALC!B$143)</f>
    </nc>
  </rcc>
  <rcc rId="4640" sId="4">
    <oc r="K34">
      <f>258*(1+CALC!B$14)</f>
    </oc>
    <nc r="K34">
      <f>258*(1+CALC!B$143)</f>
    </nc>
  </rcc>
  <rcc rId="4641" sId="4">
    <oc r="K35">
      <f>258*(1+CALC!B$14)</f>
    </oc>
    <nc r="K35">
      <f>258*(1+CALC!B$143)</f>
    </nc>
  </rcc>
  <rcc rId="4642" sId="4">
    <oc r="K36">
      <f>390*(1+CALC!B$14)</f>
    </oc>
    <nc r="K36">
      <f>390*(1+CALC!B$13)</f>
    </nc>
  </rcc>
  <rcc rId="4643" sId="4">
    <oc r="K37">
      <f>258*(1+CALC!B$14)</f>
    </oc>
    <nc r="K37">
      <f>258*(1+CALC!B$13)</f>
    </nc>
  </rcc>
  <rcc rId="4644" sId="4">
    <oc r="K38">
      <f>258*(1+CALC!B$14)</f>
    </oc>
    <nc r="K38">
      <f>258*(1+CALC!B$13)</f>
    </nc>
  </rcc>
  <rcc rId="4645" sId="4">
    <oc r="K44">
      <f>468*(1+CALC!B$14)</f>
    </oc>
    <nc r="K44">
      <f>468*(1+CALC!B$13)</f>
    </nc>
  </rcc>
  <rcc rId="4646" sId="4">
    <oc r="K45">
      <f>354*(1+CALC!B$14)</f>
    </oc>
    <nc r="K45">
      <f>468*(1+CALC!B$13)</f>
    </nc>
  </rcc>
  <rcc rId="4647" sId="4" numFmtId="34">
    <oc r="K46">
      <v>468</v>
    </oc>
    <nc r="K46">
      <f>468*(1+CALC!B$13)</f>
    </nc>
  </rcc>
  <rcc rId="4648" sId="4" numFmtId="34">
    <oc r="K57">
      <v>468</v>
    </oc>
    <nc r="K57">
      <f>468*(1+CALC!B$13)</f>
    </nc>
  </rcc>
  <rcc rId="4649" sId="4">
    <oc r="K58">
      <f>8358*1.06</f>
    </oc>
    <nc r="K58">
      <f>8358*(1+CALC!B$13)</f>
    </nc>
  </rcc>
  <rcc rId="4650" sId="4">
    <oc r="K66">
      <f>16680*1.06</f>
    </oc>
    <nc r="K66">
      <f>16680*(1+CALC!B$13)</f>
    </nc>
  </rcc>
  <rcc rId="4651" sId="4">
    <oc r="K67">
      <f>16680*1.06</f>
    </oc>
    <nc r="K67">
      <f>16680*(1+CALC!B$13)</f>
    </nc>
  </rcc>
  <rcc rId="4652" sId="4">
    <oc r="K68">
      <f>16680*1.06</f>
    </oc>
    <nc r="K68">
      <f>16680*(1+CALC!B$13)</f>
    </nc>
  </rcc>
  <rcc rId="4653" sId="4">
    <oc r="K69">
      <f>16680*1.06</f>
    </oc>
    <nc r="K69">
      <f>16680*(1+CALC!B$13)</f>
    </nc>
  </rcc>
  <rcc rId="4654" sId="4">
    <oc r="K70">
      <f>16680*1.06</f>
    </oc>
    <nc r="K70">
      <f>16680*(1+CALC!B$13)</f>
    </nc>
  </rcc>
  <rcc rId="4655" sId="4">
    <oc r="K71">
      <f>16680*1.06</f>
    </oc>
    <nc r="K71">
      <f>16680*(1+CALC!B$13)</f>
    </nc>
  </rcc>
  <rcc rId="4656" sId="4">
    <oc r="K72">
      <f>16680*1.06</f>
    </oc>
    <nc r="K72">
      <f>16680*(1+CALC!B$13)</f>
    </nc>
  </rcc>
  <rcc rId="4657" sId="4" numFmtId="34">
    <oc r="K73">
      <v>17160</v>
    </oc>
    <nc r="K73">
      <f>16680*(1+CALC!B$13)</f>
    </nc>
  </rcc>
  <rcc rId="4658" sId="4">
    <oc r="K74">
      <f>9492*1.06</f>
    </oc>
    <nc r="K74">
      <f>9492*(1+CALC!B$13)</f>
    </nc>
  </rcc>
  <rcc rId="4659" sId="4">
    <oc r="K75">
      <f>18414*1.06</f>
    </oc>
    <nc r="K75">
      <f>18414*(1+CALC!B$13)</f>
    </nc>
  </rcc>
  <rcc rId="4660" sId="4">
    <oc r="K80">
      <f>678*1.06</f>
    </oc>
    <nc r="K80">
      <f>678*(1+CALC!B$13)</f>
    </nc>
  </rcc>
  <rcc rId="4661" sId="4">
    <oc r="K81">
      <f>678*1.06</f>
    </oc>
    <nc r="K81">
      <f>678*(1+CALC!B$13)</f>
    </nc>
  </rcc>
  <rcc rId="4662" sId="4">
    <oc r="K82">
      <f>678*(1+CALC!B$14)</f>
    </oc>
    <nc r="K82">
      <f>678*(1+CALC!B$13)</f>
    </nc>
  </rcc>
  <rcc rId="4663" sId="4">
    <oc r="K83">
      <f>678*(1+CALC!B$14)</f>
    </oc>
    <nc r="K83">
      <f>678*(1+CALC!B$13)</f>
    </nc>
  </rcc>
  <rcc rId="4664" sId="4">
    <oc r="K84">
      <f>678*(1+CALC!B$14)</f>
    </oc>
    <nc r="K84">
      <f>678*(1+CALC!B$13)</f>
    </nc>
  </rcc>
  <rcc rId="4665" sId="4">
    <oc r="K85">
      <f>678*(1+CALC!B$14)</f>
    </oc>
    <nc r="K85">
      <f>678*(1+CALC!B$13)</f>
    </nc>
  </rcc>
  <rcc rId="4666" sId="4">
    <oc r="K91">
      <f>2460*(1+CALC!B$14)</f>
    </oc>
    <nc r="K91">
      <f>2460*(1+CALC!B$13)</f>
    </nc>
  </rcc>
  <rcc rId="4667" sId="4">
    <oc r="K92">
      <f>2460*(1+CALC!B$14)</f>
    </oc>
    <nc r="K92">
      <f>2460*(1+CALC!B$13)</f>
    </nc>
  </rcc>
  <rcc rId="4668" sId="4">
    <oc r="K93">
      <f>2460*(1+CALC!B$14)</f>
    </oc>
    <nc r="K93">
      <f>2460*(1+CALC!B$13)</f>
    </nc>
  </rcc>
  <rcc rId="4669" sId="4">
    <oc r="K94">
      <f>3324*(1+CALC!B$14)</f>
    </oc>
    <nc r="K94">
      <f>3324*(1+CALC!B$13)</f>
    </nc>
  </rcc>
  <rcc rId="4670" sId="4">
    <oc r="K99">
      <f>38250*(1+CALC!B$14)</f>
    </oc>
    <nc r="K99">
      <f>38250*(1+CALC!B$13)</f>
    </nc>
  </rcc>
</revisions>
</file>

<file path=xl/revisions/revisionLog2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71" sId="5" numFmtId="34">
    <oc r="K92">
      <v>468</v>
    </oc>
    <nc r="K92">
      <f>468*(1+CALC!B$13)</f>
    </nc>
  </rcc>
  <rcc rId="4672" sId="5">
    <oc r="K7">
      <f>678*1.06</f>
    </oc>
    <nc r="K7">
      <f>678*(1+CALC!B$13)</f>
    </nc>
  </rcc>
  <rcc rId="4673" sId="5">
    <oc r="K13">
      <f>1932*1.06</f>
    </oc>
    <nc r="K13">
      <f>1932*(1+CALC!B$13)</f>
    </nc>
  </rcc>
  <rcc rId="4674" sId="5">
    <oc r="K14">
      <f>1932*1.06</f>
    </oc>
    <nc r="K14">
      <f>1932*(1+CALC!B$13)</f>
    </nc>
  </rcc>
  <rcc rId="4675" sId="5">
    <oc r="K15">
      <f>1932*1.06</f>
    </oc>
    <nc r="K15">
      <f>1932*(1+CALC!B$13)</f>
    </nc>
  </rcc>
  <rcc rId="4676" sId="5">
    <oc r="K17">
      <f>1932*1.06</f>
    </oc>
    <nc r="K17">
      <f>1932*(1+CALC!B$13)</f>
    </nc>
  </rcc>
  <rcc rId="4677" sId="5">
    <oc r="K18">
      <f>1932*1.06</f>
    </oc>
    <nc r="K18">
      <f>1932*(1+CALC!B$13)</f>
    </nc>
  </rcc>
  <rcc rId="4678" sId="5">
    <oc r="K19">
      <f>1932*1.06</f>
    </oc>
    <nc r="K19">
      <f>1932*(1+CALC!B$13)</f>
    </nc>
  </rcc>
  <rcc rId="4679" sId="5">
    <oc r="K20">
      <f>1932*1.06</f>
    </oc>
    <nc r="K20">
      <f>1932*(1+CALC!B$13)</f>
    </nc>
  </rcc>
  <rcc rId="4680" sId="5">
    <oc r="K21">
      <f>1932*1.06</f>
    </oc>
    <nc r="K21">
      <f>1932*(1+CALC!B$13)</f>
    </nc>
  </rcc>
  <rcc rId="4681" sId="5">
    <oc r="K22">
      <f>1932*1.06</f>
    </oc>
    <nc r="K22">
      <f>1932*(1+CALC!B$13)</f>
    </nc>
  </rcc>
  <rcc rId="4682" sId="5">
    <oc r="K29">
      <f>678*1.06</f>
    </oc>
    <nc r="K29">
      <f>678*(1+CALC!B$13)</f>
    </nc>
  </rcc>
  <rcc rId="4683" sId="5">
    <oc r="K31">
      <f>678*1.06</f>
    </oc>
    <nc r="K31">
      <f>678*(1+CALC!B$13)</f>
    </nc>
  </rcc>
  <rcc rId="4684" sId="5">
    <oc r="K32">
      <f>678*1.06</f>
    </oc>
    <nc r="K32">
      <f>678*(1+CALC!B$13)</f>
    </nc>
  </rcc>
  <rcc rId="4685" sId="5">
    <oc r="K33">
      <f>678*1.06</f>
    </oc>
    <nc r="K33">
      <f>678*(1+CALC!B$13)</f>
    </nc>
  </rcc>
  <rcc rId="4686" sId="5">
    <oc r="K34">
      <f>678*1.06</f>
    </oc>
    <nc r="K34">
      <f>678*(1+CALC!B$13)</f>
    </nc>
  </rcc>
  <rcc rId="4687" sId="5">
    <oc r="K35">
      <f>678*1.06</f>
    </oc>
    <nc r="K35">
      <f>678*(1+CALC!B$13)</f>
    </nc>
  </rcc>
  <rcc rId="4688" sId="5">
    <oc r="K36">
      <f>678*1.06</f>
    </oc>
    <nc r="K36">
      <f>678*(1+CALC!B$13)</f>
    </nc>
  </rcc>
  <rcc rId="4689" sId="5">
    <oc r="K37">
      <f>678*1.06</f>
    </oc>
    <nc r="K37">
      <f>678*(1+CALC!B$13)</f>
    </nc>
  </rcc>
  <rcc rId="4690" sId="5">
    <oc r="K38">
      <f>678*1.06</f>
    </oc>
    <nc r="K38">
      <f>678*(1+CALC!B$13)</f>
    </nc>
  </rcc>
  <rcc rId="4691" sId="5">
    <oc r="K39">
      <f>678*1.06</f>
    </oc>
    <nc r="K39">
      <f>678*(1+CALC!B$13)</f>
    </nc>
  </rcc>
  <rcc rId="4692" sId="5">
    <oc r="K40">
      <f>678*1.06</f>
    </oc>
    <nc r="K40">
      <f>678*(1+CALC!B$13)</f>
    </nc>
  </rcc>
  <rcc rId="4693" sId="5">
    <oc r="K42">
      <f>678*1.06</f>
    </oc>
    <nc r="K42">
      <f>678*(1+CALC!B$13)</f>
    </nc>
  </rcc>
  <rcc rId="4694" sId="5">
    <oc r="K43">
      <f>678*1.06</f>
    </oc>
    <nc r="K43">
      <f>678*(1+CALC!B$13)</f>
    </nc>
  </rcc>
  <rcc rId="4695" sId="5">
    <oc r="K46">
      <f>678*1.06</f>
    </oc>
    <nc r="K46">
      <f>678*(1+CALC!B$13)</f>
    </nc>
  </rcc>
  <rcc rId="4696" sId="5">
    <oc r="K47">
      <f>678*1.06</f>
    </oc>
    <nc r="K47">
      <f>678*(1+CALC!B$13)</f>
    </nc>
  </rcc>
  <rcc rId="4697" sId="5">
    <oc r="K52">
      <f>168*1.06</f>
    </oc>
    <nc r="K52">
      <f>168*(1+CALC!B$13)</f>
    </nc>
  </rcc>
  <rcc rId="4698" sId="5" numFmtId="34">
    <oc r="K59">
      <v>240</v>
    </oc>
    <nc r="K59">
      <f>240*(1+CALC!B$13)</f>
    </nc>
  </rcc>
  <rcc rId="4699" sId="5">
    <oc r="K66">
      <f>2952*1.06</f>
    </oc>
    <nc r="K66">
      <f>2952*(1+CALC!B$13)</f>
    </nc>
  </rcc>
  <rcc rId="4700" sId="5">
    <oc r="K67">
      <f>2952*1.06</f>
    </oc>
    <nc r="K67">
      <f>2952*(1+CALC!B$13)</f>
    </nc>
  </rcc>
  <rcc rId="4701" sId="5">
    <oc r="K73">
      <f>11118*1.06</f>
    </oc>
    <nc r="K73">
      <f>11118*(1+CALC!B$13)</f>
    </nc>
  </rcc>
  <rcc rId="4702" sId="5">
    <oc r="K74">
      <f>9492*1.06</f>
    </oc>
    <nc r="K74">
      <f>9492*(1+CALC!B$13)</f>
    </nc>
  </rcc>
  <rcc rId="4703" sId="5">
    <oc r="K80">
      <f>34158*1.06</f>
    </oc>
    <nc r="K80">
      <f>34158*(1+CALC!B$13)</f>
    </nc>
  </rcc>
  <rcc rId="4704" sId="5" numFmtId="34">
    <oc r="K86">
      <v>468</v>
    </oc>
    <nc r="K86">
      <f>468*(1+CALC!B$13)</f>
    </nc>
  </rcc>
  <rcc rId="4705" sId="5" numFmtId="34">
    <oc r="K87">
      <v>468</v>
    </oc>
    <nc r="K87">
      <f>468*(1+CALC!B$13)</f>
    </nc>
  </rcc>
  <rcc rId="4706" sId="5" numFmtId="34">
    <oc r="K88">
      <v>468</v>
    </oc>
    <nc r="K88">
      <f>468*(1+CALC!B$13)</f>
    </nc>
  </rcc>
  <rcc rId="4707" sId="5" numFmtId="34">
    <oc r="K89">
      <v>468</v>
    </oc>
    <nc r="K89">
      <f>468*(1+CALC!B$13)</f>
    </nc>
  </rcc>
  <rcc rId="4708" sId="5" numFmtId="34">
    <oc r="K90">
      <v>468</v>
    </oc>
    <nc r="K90">
      <f>468*(1+CALC!B$13)</f>
    </nc>
  </rcc>
  <rcc rId="4709" sId="5" numFmtId="34">
    <oc r="K103">
      <v>25000</v>
    </oc>
    <nc r="K103">
      <f>25000*(1+CALC!B$13)</f>
    </nc>
  </rcc>
</revisions>
</file>

<file path=xl/revisions/revisionLog2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10" sId="6">
    <oc r="K7">
      <f>678*1.06</f>
    </oc>
    <nc r="K7">
      <f>678*(1+CALC!B$13)</f>
    </nc>
  </rcc>
  <rcc rId="4711" sId="6">
    <oc r="K8">
      <f>678*1.06</f>
    </oc>
    <nc r="K8">
      <f>678*(1+CALC!B$13)</f>
    </nc>
  </rcc>
  <rcc rId="4712" sId="6">
    <oc r="K13">
      <f>678*1.06</f>
    </oc>
    <nc r="K13">
      <f>678*(1+CALC!B$13)</f>
    </nc>
  </rcc>
  <rcc rId="4713" sId="6">
    <oc r="K14">
      <f>678*1.06</f>
    </oc>
    <nc r="K14">
      <f>678*(1+CALC!B$13)</f>
    </nc>
  </rcc>
  <rcc rId="4714" sId="6">
    <oc r="K15">
      <f>678*1.06</f>
    </oc>
    <nc r="K15">
      <f>678*(1+CALC!B$13)</f>
    </nc>
  </rcc>
  <rcc rId="4715" sId="6">
    <oc r="K20">
      <f>1110*1.06</f>
    </oc>
    <nc r="K20">
      <f>1110*(1+CALC!B$13)</f>
    </nc>
  </rcc>
  <rcc rId="4716" sId="6">
    <oc r="K21">
      <f>1110*1.06</f>
    </oc>
    <nc r="K21">
      <f>1110*(1+CALC!B$13)</f>
    </nc>
  </rcc>
  <rcc rId="4717" sId="6">
    <oc r="K22">
      <f>1110*1.06</f>
    </oc>
    <nc r="K22">
      <f>1110*(1+CALC!B$13)</f>
    </nc>
  </rcc>
  <rcc rId="4718" sId="6">
    <oc r="K27">
      <f>1932*1.06</f>
    </oc>
    <nc r="K27">
      <f>1932*(1+CALC!B$13)</f>
    </nc>
  </rcc>
  <rcc rId="4719" sId="6">
    <oc r="K28">
      <f>1932*1.06</f>
    </oc>
    <nc r="K28">
      <f>1932*(1+CALC!B$13)</f>
    </nc>
  </rcc>
  <rcc rId="4720" sId="6">
    <oc r="K29">
      <f>1932*1.06</f>
    </oc>
    <nc r="K29">
      <f>1932*(1+CALC!B$13)</f>
    </nc>
  </rcc>
  <rcc rId="4721" sId="6">
    <oc r="K30">
      <f>1932*1.06</f>
    </oc>
    <nc r="K30">
      <f>1932*(1+CALC!B$13)</f>
    </nc>
  </rcc>
  <rcc rId="4722" sId="6">
    <oc r="K35">
      <f>8358*1.06</f>
    </oc>
    <nc r="K35">
      <f>8358*(1+CALC!B$13)</f>
    </nc>
  </rcc>
  <rcc rId="4723" sId="6">
    <oc r="K40">
      <f>9492*1.06</f>
    </oc>
    <nc r="K40">
      <f>9492*(1+CALC!B$13)</f>
    </nc>
  </rcc>
  <rcc rId="4724" sId="6">
    <oc r="K46">
      <f>8358*1.06</f>
    </oc>
    <nc r="K46">
      <f>8358*(1+CALC!B$13)</f>
    </nc>
  </rcc>
  <rcc rId="4725" sId="6">
    <oc r="K47">
      <f>8358*1.06</f>
    </oc>
    <nc r="K47">
      <f>8358*(1+CALC!B$13)</f>
    </nc>
  </rcc>
  <rcc rId="4726" sId="6">
    <oc r="K53">
      <f>168*1.06</f>
    </oc>
    <nc r="K53">
      <f>168*(1+CALC!B$13)</f>
    </nc>
  </rcc>
  <rcc rId="4727" sId="6">
    <oc r="K54">
      <f>168*1.06</f>
    </oc>
    <nc r="K54">
      <f>168*(1+CALC!B$13)</f>
    </nc>
  </rcc>
  <rcc rId="4728" sId="6" numFmtId="34">
    <oc r="K55">
      <v>300</v>
    </oc>
    <nc r="K55">
      <f>300*(1+CALC!B$13)</f>
    </nc>
  </rcc>
  <rcc rId="4729" sId="6" numFmtId="34">
    <oc r="K56">
      <v>300</v>
    </oc>
    <nc r="K56">
      <f>300*(1+CALC!B$13)</f>
    </nc>
  </rcc>
  <rcc rId="4730" sId="6">
    <oc r="K57">
      <f>168*1.06</f>
    </oc>
    <nc r="K57">
      <f>168*(1+CALC!B$13)</f>
    </nc>
  </rcc>
  <rcc rId="4731" sId="6">
    <oc r="K62">
      <f>168*1.06</f>
    </oc>
    <nc r="K62">
      <f>168*(1+CALC!B$13)</f>
    </nc>
  </rcc>
  <rcc rId="4732" sId="6">
    <oc r="K63">
      <f>168*1.06</f>
    </oc>
    <nc r="K63">
      <f>168*(1+CALC!B$13)</f>
    </nc>
  </rcc>
  <rcc rId="4733" sId="6">
    <oc r="K68">
      <f>168*1.06</f>
    </oc>
    <nc r="K68">
      <f>168*(1+CALC!B$13)</f>
    </nc>
  </rcc>
  <rcc rId="4734" sId="6">
    <oc r="K69">
      <f>168*1.06</f>
    </oc>
    <nc r="K69">
      <f>168*(1+CALC!B$13)</f>
    </nc>
  </rcc>
  <rcc rId="4735" sId="6">
    <oc r="K74">
      <f>12420*1.06</f>
    </oc>
    <nc r="K74">
      <f>12420*(1+CALC!B$13)</f>
    </nc>
  </rcc>
  <rcc rId="4736" sId="6">
    <oc r="K75">
      <f>8358*1.06</f>
    </oc>
    <nc r="K75">
      <f>8358*(1+CALC!B$13)</f>
    </nc>
  </rcc>
  <rcc rId="4737" sId="6">
    <oc r="K80">
      <f>9228*1.06</f>
    </oc>
    <nc r="K80">
      <f>9228*(1+CALC!B$13)</f>
    </nc>
  </rcc>
  <rcc rId="4738" sId="6">
    <oc r="K81">
      <f>9228*1.06</f>
    </oc>
    <nc r="K81">
      <f>9228*(1+CALC!B$13)</f>
    </nc>
  </rcc>
  <rcc rId="4739" sId="6">
    <oc r="K82">
      <f>9228*1.06</f>
    </oc>
    <nc r="K82">
      <f>9228*(1+CALC!B$13)</f>
    </nc>
  </rcc>
  <rcc rId="4740" sId="6">
    <oc r="K83">
      <f>9228*1.06</f>
    </oc>
    <nc r="K83">
      <f>9228*(1+CALC!B$13)</f>
    </nc>
  </rcc>
  <rcc rId="4741" sId="6" numFmtId="34">
    <oc r="K89">
      <v>468</v>
    </oc>
    <nc r="K89">
      <f>468*(1+CALC!B$13)</f>
    </nc>
  </rcc>
  <rcc rId="4742" sId="6" odxf="1" dxf="1" numFmtId="34">
    <oc r="K90">
      <v>468</v>
    </oc>
    <nc r="K90">
      <f>468*(1+CALC!B$13)</f>
    </nc>
    <odxf>
      <fill>
        <patternFill>
          <bgColor theme="6"/>
        </patternFill>
      </fill>
    </odxf>
    <ndxf>
      <fill>
        <patternFill>
          <bgColor rgb="FF7030A0"/>
        </patternFill>
      </fill>
    </ndxf>
  </rcc>
  <rcc rId="4743" sId="6" odxf="1" dxf="1" numFmtId="34">
    <oc r="K91">
      <v>468</v>
    </oc>
    <nc r="K91">
      <f>468*(1+CALC!B$13)</f>
    </nc>
    <odxf>
      <fill>
        <patternFill>
          <bgColor theme="6"/>
        </patternFill>
      </fill>
    </odxf>
    <ndxf>
      <fill>
        <patternFill>
          <bgColor rgb="FF7030A0"/>
        </patternFill>
      </fill>
    </ndxf>
  </rcc>
  <rcc rId="4744" sId="6">
    <oc r="K92">
      <f>168*1.06</f>
    </oc>
    <nc r="K92">
      <f>168*(1+CALC!B$13)</f>
    </nc>
  </rcc>
  <rcc rId="4745" sId="6" numFmtId="34">
    <oc r="K93">
      <v>468</v>
    </oc>
    <nc r="K93">
      <f>468*(1+CALC!B$13)</f>
    </nc>
  </rcc>
  <rcc rId="4746" sId="6" numFmtId="34">
    <oc r="K94">
      <v>468</v>
    </oc>
    <nc r="K94">
      <f>468*(1+CALC!B$13)</f>
    </nc>
  </rcc>
  <rcc rId="4747" sId="6">
    <oc r="K95">
      <f>168*1.06</f>
    </oc>
    <nc r="K95">
      <f>168*(1+CALC!B$13)</f>
    </nc>
  </rcc>
  <rcc rId="4748" sId="6" numFmtId="34">
    <oc r="K99">
      <v>468</v>
    </oc>
    <nc r="K99">
      <f>468*(1+CALC!B$13)</f>
    </nc>
  </rcc>
  <rcc rId="4749" sId="6" numFmtId="34">
    <oc r="K111">
      <v>390</v>
    </oc>
    <nc r="K111">
      <f>390*(1+CALC!B$13)</f>
    </nc>
  </rcc>
  <rcc rId="4750" sId="6" numFmtId="34">
    <oc r="K112">
      <v>390</v>
    </oc>
    <nc r="K112">
      <f>390*(1+CALC!B$13)</f>
    </nc>
  </rcc>
  <rcc rId="4751" sId="6">
    <oc r="K113">
      <f>258*1.06</f>
    </oc>
    <nc r="K113">
      <f>258*(1+CALC!B$13)</f>
    </nc>
  </rcc>
  <rcc rId="4752" sId="6" numFmtId="34">
    <oc r="K118">
      <v>468</v>
    </oc>
    <nc r="K118">
      <f>468*(1+CALC!B$13)</f>
    </nc>
  </rcc>
  <rcc rId="4753" sId="6" odxf="1" dxf="1" numFmtId="34">
    <oc r="K119">
      <v>468</v>
    </oc>
    <nc r="K119">
      <f>468*(1+CALC!B$13)</f>
    </nc>
    <odxf>
      <fill>
        <patternFill>
          <bgColor theme="6"/>
        </patternFill>
      </fill>
    </odxf>
    <ndxf>
      <fill>
        <patternFill>
          <bgColor rgb="FF7030A0"/>
        </patternFill>
      </fill>
    </ndxf>
  </rcc>
  <rcc rId="4754" sId="6" numFmtId="34">
    <oc r="K121">
      <v>468</v>
    </oc>
    <nc r="K121">
      <f>468*(1+CALC!B$13)</f>
    </nc>
  </rcc>
  <rcc rId="4755" sId="6" numFmtId="34">
    <oc r="K122">
      <v>468</v>
    </oc>
    <nc r="K122">
      <f>468*(1+CALC!B$13)</f>
    </nc>
  </rcc>
  <rcc rId="4756" sId="6" numFmtId="34">
    <oc r="K123">
      <v>468</v>
    </oc>
    <nc r="K123">
      <f>468*(1+CALC!B$13)</f>
    </nc>
  </rcc>
  <rcc rId="4757" sId="6" numFmtId="34">
    <oc r="K130">
      <v>468</v>
    </oc>
    <nc r="K130">
      <f>468*(1+CALC!B$13)</f>
    </nc>
  </rc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75" sId="2" odxf="1" dxf="1">
    <nc r="A10">
      <f>+'1-10'!C26</f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fmt sheetId="2" sqref="B10" start="0" length="0">
    <dxf>
      <fill>
        <patternFill patternType="solid">
          <bgColor rgb="FFFFFF00"/>
        </patternFill>
      </fill>
    </dxf>
  </rfmt>
  <rcc rId="2776" sId="2" odxf="1" dxf="1">
    <nc r="C10">
      <v>624</v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2777" sId="2" numFmtId="4">
    <nc r="D10">
      <v>60000</v>
    </nc>
  </rcc>
  <rcc rId="2778" sId="2" odxf="1" dxf="1">
    <nc r="E10">
      <f>+D10/P10*(CALC!$A$4)*1.1</f>
    </nc>
    <odxf/>
    <ndxf/>
  </rcc>
  <rcc rId="2779" sId="2" odxf="1" dxf="1" numFmtId="34">
    <nc r="F10">
      <v>3000</v>
    </nc>
    <odxf/>
    <ndxf/>
  </rcc>
  <rcc rId="2780" sId="2" odxf="1" dxf="1">
    <nc r="G10">
      <f>5482*(1+CALC!$A$2)</f>
    </nc>
    <odxf/>
    <ndxf/>
  </rcc>
  <rcc rId="2781" sId="2" odxf="1" dxf="1" numFmtId="34">
    <nc r="H10">
      <v>35000</v>
    </nc>
    <odxf/>
    <ndxf/>
  </rcc>
  <rcc rId="2782" sId="2" odxf="1" dxf="1" numFmtId="34">
    <oc r="I10">
      <v>0</v>
    </oc>
    <nc r="I10">
      <f>11166.61</f>
    </nc>
    <odxf/>
    <ndxf/>
  </rcc>
  <rfmt sheetId="2" sqref="J10" start="0" length="0">
    <dxf>
      <fill>
        <patternFill patternType="solid">
          <bgColor rgb="FFC00000"/>
        </patternFill>
      </fill>
    </dxf>
  </rfmt>
  <rcc rId="2783" sId="2" odxf="1" dxf="1" numFmtId="34">
    <nc r="K10">
      <v>960</v>
    </nc>
    <odxf/>
    <ndxf/>
  </rcc>
  <rfmt sheetId="2" sqref="L10" start="0" length="0">
    <dxf/>
  </rfmt>
  <rcc rId="2784" sId="2" odxf="1" dxf="1">
    <nc r="M10">
      <f>SUM(E10:L10)</f>
    </nc>
    <odxf/>
    <ndxf/>
  </rcc>
  <rcc rId="2785" sId="2" odxf="1" dxf="1">
    <nc r="N10">
      <f>M10/CALC!$A$8*CALC!$A$6</f>
    </nc>
    <odxf>
      <font>
        <b val="0"/>
        <sz val="8"/>
        <name val="Consolas"/>
        <family val="3"/>
      </font>
    </odxf>
    <ndxf>
      <font>
        <b/>
        <sz val="8"/>
        <name val="Consolas"/>
        <family val="3"/>
      </font>
    </ndxf>
  </rcc>
  <rcc rId="2786" sId="2" odxf="1" dxf="1">
    <nc r="O10">
      <f>+M10+N10</f>
    </nc>
    <odxf/>
    <ndxf/>
  </rcc>
  <rcc rId="2787" sId="2">
    <nc r="B10">
      <f>+'1-10'!R12</f>
    </nc>
  </rcc>
</revisions>
</file>

<file path=xl/revisions/revisionLog2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58" sId="7">
    <oc r="K7">
      <f>678*1.06</f>
    </oc>
    <nc r="K7">
      <f>678*(1+CALC!B$13)</f>
    </nc>
  </rcc>
  <rcc rId="4759" sId="7">
    <oc r="K8">
      <f>678*1.06</f>
    </oc>
    <nc r="K8">
      <f>678*(1+CALC!B$13)</f>
    </nc>
  </rcc>
  <rcc rId="4760" sId="7">
    <oc r="K9">
      <f>678*1.06</f>
    </oc>
    <nc r="K9">
      <f>678*(1+CALC!B$13)</f>
    </nc>
  </rcc>
  <rcc rId="4761" sId="7">
    <oc r="K10">
      <f>678*1.06</f>
    </oc>
    <nc r="K10">
      <f>678*(1+CALC!B$13)</f>
    </nc>
  </rcc>
  <rcc rId="4762" sId="7">
    <oc r="K11">
      <f>678*1.06</f>
    </oc>
    <nc r="K11">
      <f>678*(1+CALC!B$13)</f>
    </nc>
  </rcc>
  <rcc rId="4763" sId="7">
    <oc r="K12">
      <f>678*1.06</f>
    </oc>
    <nc r="K12">
      <f>678*(1+CALC!B$13)</f>
    </nc>
  </rcc>
  <rcc rId="4764" sId="7">
    <oc r="K13">
      <f>678*1.06</f>
    </oc>
    <nc r="K13">
      <f>678*(1+CALC!B$13)</f>
    </nc>
  </rcc>
  <rcc rId="4765" sId="7">
    <oc r="K14">
      <f>678*1.06</f>
    </oc>
    <nc r="K14">
      <f>678*(1+CALC!B$13)</f>
    </nc>
  </rcc>
  <rcc rId="4766" sId="7">
    <oc r="K15">
      <f>678*1.06</f>
    </oc>
    <nc r="K15">
      <f>678*(1+CALC!B$13)</f>
    </nc>
  </rcc>
  <rcc rId="4767" sId="7">
    <oc r="K16">
      <f>678*1.06</f>
    </oc>
    <nc r="K16">
      <f>678*(1+CALC!B$13)</f>
    </nc>
  </rcc>
  <rcc rId="4768" sId="7">
    <oc r="K22">
      <f>678*1.06</f>
    </oc>
    <nc r="K22">
      <f>678*(1+CALC!B$13)</f>
    </nc>
  </rcc>
  <rcc rId="4769" sId="7">
    <oc r="K23">
      <f>678*1.06</f>
    </oc>
    <nc r="K23">
      <f>678*(1+CALC!B$13)</f>
    </nc>
  </rcc>
  <rcc rId="4770" sId="7">
    <oc r="K24">
      <f>678*1.06</f>
    </oc>
    <nc r="K24">
      <f>678*(1+CALC!B$13)</f>
    </nc>
  </rcc>
  <rcc rId="4771" sId="7">
    <oc r="K29">
      <f>1932*1.06</f>
    </oc>
    <nc r="K29">
      <f>1932*(1+CALC!B$13)</f>
    </nc>
  </rcc>
  <rcc rId="4772" sId="7">
    <oc r="K34">
      <f>8358*1.06</f>
    </oc>
    <nc r="K34">
      <f>8358*(1+CALC!B$13)</f>
    </nc>
  </rcc>
  <rcc rId="4773" sId="7">
    <oc r="K39">
      <f>9492*1.06</f>
    </oc>
    <nc r="K39">
      <f>9492*(1+CALC!B$13)</f>
    </nc>
  </rcc>
  <rcc rId="4774" sId="7">
    <oc r="K44">
      <f>7770*1.06</f>
    </oc>
    <nc r="K44">
      <f>7770*(1+CALC!B$13)</f>
    </nc>
  </rcc>
  <rcc rId="4775" sId="7">
    <oc r="K56">
      <f>168*1.06</f>
    </oc>
    <nc r="K56">
      <f>168*(1+CALC!B$13)</f>
    </nc>
  </rcc>
  <rcc rId="4776" sId="7" numFmtId="34">
    <oc r="K62">
      <v>10200</v>
    </oc>
    <nc r="K62">
      <f>10200*(1+CALC!B$13)</f>
    </nc>
  </rcc>
  <rcc rId="4777" sId="7">
    <oc r="K77">
      <f>9492*1.06</f>
    </oc>
    <nc r="K77">
      <f>9492*(1+CALC!B$13)</f>
    </nc>
  </rcc>
</revisions>
</file>

<file path=xl/revisions/revisionLog2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78" sId="9" numFmtId="14">
    <oc r="B13">
      <v>4.9000000000000002E-2</v>
    </oc>
    <nc r="B13">
      <v>0.115</v>
    </nc>
  </rcc>
</revisions>
</file>

<file path=xl/revisions/revisionLog2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79" sId="9" numFmtId="14">
    <oc r="B13">
      <v>0.115</v>
    </oc>
    <nc r="B13">
      <v>0.12</v>
    </nc>
  </rcc>
  <rcc rId="4780" sId="9" numFmtId="34">
    <oc r="A4">
      <v>22</v>
    </oc>
    <nc r="A4">
      <v>24</v>
    </nc>
  </rcc>
  <rcc rId="4781" sId="9" numFmtId="14">
    <oc r="B14">
      <v>4.3999999999999997E-2</v>
    </oc>
    <nc r="B14">
      <v>0.15</v>
    </nc>
  </rcc>
</revisions>
</file>

<file path=xl/revisions/revisionLog2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82" sId="1">
    <oc r="A1" t="inlineStr">
      <is>
        <t>VEHICLE BUDGET 2024-2025</t>
      </is>
    </oc>
    <nc r="A1" t="inlineStr">
      <is>
        <t>VEHICLE BUDGET 2025-2026</t>
      </is>
    </nc>
  </rcc>
  <rfmt sheetId="1" sqref="A1:D1" start="0" length="2147483647">
    <dxf>
      <font>
        <sz val="12"/>
      </font>
    </dxf>
  </rfmt>
  <rfmt sheetId="2" sqref="A1:D1" start="0" length="2147483647">
    <dxf>
      <font>
        <sz val="12"/>
      </font>
    </dxf>
  </rfmt>
  <rcc rId="4783" sId="2">
    <oc r="A1" t="inlineStr">
      <is>
        <t>VEHICLE BUDGET 2024-2025</t>
      </is>
    </oc>
    <nc r="A1" t="inlineStr">
      <is>
        <t>VEHICLE BUDGET 2025-2026</t>
      </is>
    </nc>
  </rcc>
  <rfmt sheetId="3" sqref="A1:D1" start="0" length="2147483647">
    <dxf>
      <font>
        <sz val="12"/>
      </font>
    </dxf>
  </rfmt>
  <rcc rId="4784" sId="3">
    <oc r="A1" t="inlineStr">
      <is>
        <t>VEHICLE BUDGET 2024-2025</t>
      </is>
    </oc>
    <nc r="A1" t="inlineStr">
      <is>
        <t>VEHICLE BUDGET 2025-2026</t>
      </is>
    </nc>
  </rcc>
  <rfmt sheetId="4" sqref="A1" start="0" length="2147483647">
    <dxf>
      <font>
        <sz val="12"/>
      </font>
    </dxf>
  </rfmt>
  <rfmt sheetId="4" sqref="E1" start="0" length="2147483647">
    <dxf>
      <font>
        <sz val="12"/>
      </font>
    </dxf>
  </rfmt>
  <rcc rId="4785" sId="4">
    <oc r="A1" t="inlineStr">
      <is>
        <t>VEHICLE BUDGET 2024-2025</t>
      </is>
    </oc>
    <nc r="A1" t="inlineStr">
      <is>
        <t>VEHICLE BUDGET 2025-2026</t>
      </is>
    </nc>
  </rcc>
  <rfmt sheetId="5" sqref="A1:D1" start="0" length="2147483647">
    <dxf>
      <font>
        <sz val="12"/>
      </font>
    </dxf>
  </rfmt>
  <rcc rId="4786" sId="5">
    <oc r="A1" t="inlineStr">
      <is>
        <t>VEHICLE BUDGET 2024-2025</t>
      </is>
    </oc>
    <nc r="A1" t="inlineStr">
      <is>
        <t>VEHICLE BUDGET 2025-2026</t>
      </is>
    </nc>
  </rcc>
  <rfmt sheetId="6" sqref="A1:C1" start="0" length="2147483647">
    <dxf>
      <font>
        <sz val="12"/>
      </font>
    </dxf>
  </rfmt>
  <rcc rId="4787" sId="6">
    <oc r="A1" t="inlineStr">
      <is>
        <t>VEHICLE BUDGET 2024-2025</t>
      </is>
    </oc>
    <nc r="A1" t="inlineStr">
      <is>
        <t>VEHICLE BUDGET 2025-2026</t>
      </is>
    </nc>
  </rcc>
  <rcc rId="4788" sId="6">
    <nc r="F1" t="inlineStr">
      <is>
        <t>CEM</t>
      </is>
    </nc>
  </rcc>
  <rfmt sheetId="6" sqref="F1" start="0" length="2147483647">
    <dxf>
      <font>
        <b/>
      </font>
    </dxf>
  </rfmt>
  <rfmt sheetId="6" sqref="F1" start="0" length="2147483647">
    <dxf>
      <font>
        <sz val="12"/>
      </font>
    </dxf>
  </rfmt>
  <rfmt sheetId="7" sqref="A1:D1" start="0" length="2147483647">
    <dxf>
      <font>
        <sz val="12"/>
      </font>
    </dxf>
  </rfmt>
  <rcc rId="4789" sId="7">
    <oc r="A1" t="inlineStr">
      <is>
        <t>VEHICLE BUDGET 2024-2025</t>
      </is>
    </oc>
    <nc r="A1" t="inlineStr">
      <is>
        <t>VEHICLE BUDGET 2025-2026</t>
      </is>
    </nc>
  </rcc>
</revisions>
</file>

<file path=xl/revisions/revisionLog2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4" sqref="B83">
    <dxf>
      <fill>
        <patternFill>
          <bgColor rgb="FF92D050"/>
        </patternFill>
      </fill>
    </dxf>
  </rfmt>
</revisions>
</file>

<file path=xl/revisions/revisionLog2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7" sqref="B7:B16">
    <dxf>
      <fill>
        <patternFill>
          <bgColor rgb="FF92D050"/>
        </patternFill>
      </fill>
    </dxf>
  </rfmt>
  <rfmt sheetId="6" sqref="B7:B8">
    <dxf>
      <fill>
        <patternFill>
          <bgColor rgb="FF92D050"/>
        </patternFill>
      </fill>
    </dxf>
  </rfmt>
  <rfmt sheetId="6" sqref="B27">
    <dxf>
      <fill>
        <patternFill>
          <bgColor rgb="FF92D050"/>
        </patternFill>
      </fill>
    </dxf>
  </rfmt>
  <rfmt sheetId="5" sqref="B7">
    <dxf>
      <fill>
        <patternFill>
          <bgColor rgb="FF92D050"/>
        </patternFill>
      </fill>
    </dxf>
  </rfmt>
  <rfmt sheetId="5" sqref="B13">
    <dxf>
      <fill>
        <patternFill>
          <bgColor rgb="FF92D050"/>
        </patternFill>
      </fill>
    </dxf>
  </rfmt>
  <rfmt sheetId="5" sqref="B17">
    <dxf>
      <fill>
        <patternFill>
          <bgColor rgb="FF92D050"/>
        </patternFill>
      </fill>
    </dxf>
  </rfmt>
</revisions>
</file>

<file path=xl/revisions/revisionLog2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4" sqref="B7">
    <dxf>
      <fill>
        <patternFill>
          <bgColor rgb="FF92D050"/>
        </patternFill>
      </fill>
    </dxf>
  </rfmt>
  <rfmt sheetId="4" sqref="B14">
    <dxf>
      <fill>
        <patternFill patternType="none">
          <bgColor auto="1"/>
        </patternFill>
      </fill>
    </dxf>
  </rfmt>
  <rfmt sheetId="4" sqref="B81:B82">
    <dxf>
      <fill>
        <patternFill>
          <bgColor rgb="FF92D050"/>
        </patternFill>
      </fill>
    </dxf>
  </rfmt>
  <rfmt sheetId="4" sqref="B84:B85">
    <dxf>
      <fill>
        <patternFill>
          <bgColor rgb="FF92D050"/>
        </patternFill>
      </fill>
    </dxf>
  </rfmt>
  <rfmt sheetId="3" sqref="B10">
    <dxf>
      <fill>
        <patternFill>
          <bgColor rgb="FF92D050"/>
        </patternFill>
      </fill>
    </dxf>
  </rfmt>
</revisions>
</file>

<file path=xl/revisions/revisionLog2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B9">
    <dxf>
      <fill>
        <patternFill>
          <bgColor rgb="FF92D050"/>
        </patternFill>
      </fill>
    </dxf>
  </rfmt>
</revisions>
</file>

<file path=xl/revisions/revisionLog2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4" sqref="B80">
    <dxf>
      <fill>
        <patternFill>
          <bgColor rgb="FF92D050"/>
        </patternFill>
      </fill>
    </dxf>
  </rfmt>
  <rfmt sheetId="3" sqref="B8">
    <dxf>
      <fill>
        <patternFill>
          <bgColor rgb="FF92D050"/>
        </patternFill>
      </fill>
    </dxf>
  </rfmt>
</revisions>
</file>

<file path=xl/revisions/revisionLog2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8:B9">
    <dxf>
      <fill>
        <patternFill>
          <bgColor rgb="FF92D050"/>
        </patternFill>
      </fill>
    </dxf>
  </rfmt>
  <rfmt sheetId="1" sqref="B15">
    <dxf>
      <fill>
        <patternFill>
          <bgColor rgb="FF92D050"/>
        </patternFill>
      </fill>
    </dxf>
  </rfmt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A10:C10">
    <dxf>
      <fill>
        <patternFill patternType="solid">
          <bgColor rgb="FFFFFF00"/>
        </patternFill>
      </fill>
    </dxf>
  </rfmt>
  <rfmt sheetId="3" sqref="L10">
    <dxf>
      <fill>
        <patternFill patternType="solid">
          <bgColor rgb="FFC00000"/>
        </patternFill>
      </fill>
    </dxf>
  </rfmt>
  <rfmt sheetId="7" sqref="A15:C15">
    <dxf>
      <fill>
        <patternFill patternType="solid">
          <bgColor rgb="FFFFFF00"/>
        </patternFill>
      </fill>
    </dxf>
  </rfmt>
</revisions>
</file>

<file path=xl/revisions/revisionLog2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7" sqref="B23">
    <dxf>
      <fill>
        <patternFill>
          <bgColor rgb="FF92D050"/>
        </patternFill>
      </fill>
    </dxf>
  </rfmt>
</revisions>
</file>

<file path=xl/revisions/revisionLog2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7" sqref="B22">
    <dxf>
      <fill>
        <patternFill>
          <bgColor rgb="FF92D050"/>
        </patternFill>
      </fill>
    </dxf>
  </rfmt>
  <rfmt sheetId="7" sqref="B24">
    <dxf>
      <fill>
        <patternFill>
          <bgColor rgb="FF92D050"/>
        </patternFill>
      </fill>
    </dxf>
  </rfmt>
</revisions>
</file>

<file path=xl/revisions/revisionLog2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6" sqref="B14">
    <dxf>
      <fill>
        <patternFill>
          <bgColor rgb="FF92D050"/>
        </patternFill>
      </fill>
    </dxf>
  </rfmt>
  <rfmt sheetId="6" sqref="B13">
    <dxf>
      <fill>
        <patternFill>
          <bgColor rgb="FF92D050"/>
        </patternFill>
      </fill>
    </dxf>
  </rfmt>
  <rfmt sheetId="6" sqref="B15">
    <dxf>
      <fill>
        <patternFill>
          <bgColor rgb="FF92D050"/>
        </patternFill>
      </fill>
    </dxf>
  </rfmt>
</revisions>
</file>

<file path=xl/revisions/revisionLog2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7" sqref="B77">
    <dxf>
      <fill>
        <patternFill>
          <bgColor rgb="FF92D050"/>
        </patternFill>
      </fill>
    </dxf>
  </rfmt>
</revisions>
</file>

<file path=xl/revisions/revisionLog2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4" sqref="B72">
    <dxf>
      <fill>
        <patternFill>
          <bgColor rgb="FF92D050"/>
        </patternFill>
      </fill>
    </dxf>
  </rfmt>
</revisions>
</file>

<file path=xl/revisions/revisionLog2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4" sqref="B73">
    <dxf>
      <fill>
        <patternFill>
          <bgColor rgb="FF92D050"/>
        </patternFill>
      </fill>
    </dxf>
  </rfmt>
  <rfmt sheetId="4" sqref="B66">
    <dxf>
      <fill>
        <patternFill>
          <bgColor rgb="FF92D050"/>
        </patternFill>
      </fill>
    </dxf>
  </rfmt>
</revisions>
</file>

<file path=xl/revisions/revisionLog2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6" sqref="B118">
    <dxf>
      <fill>
        <patternFill>
          <bgColor rgb="FF92D050"/>
        </patternFill>
      </fill>
    </dxf>
  </rfmt>
  <rfmt sheetId="5" sqref="B42">
    <dxf>
      <fill>
        <patternFill patternType="none">
          <bgColor auto="1"/>
        </patternFill>
      </fill>
    </dxf>
  </rfmt>
</revisions>
</file>

<file path=xl/revisions/revisionLog2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5" sqref="B90">
    <dxf>
      <fill>
        <patternFill>
          <bgColor rgb="FF92D050"/>
        </patternFill>
      </fill>
    </dxf>
  </rfmt>
  <rfmt sheetId="6" sqref="B122">
    <dxf>
      <fill>
        <patternFill>
          <bgColor rgb="FF92D050"/>
        </patternFill>
      </fill>
    </dxf>
  </rfmt>
  <rfmt sheetId="6" sqref="B112">
    <dxf>
      <fill>
        <patternFill>
          <bgColor rgb="FF92D050"/>
        </patternFill>
      </fill>
    </dxf>
  </rfmt>
</revisions>
</file>

<file path=xl/revisions/revisionLog2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6" sqref="B113">
    <dxf>
      <fill>
        <patternFill>
          <bgColor rgb="FF92D050"/>
        </patternFill>
      </fill>
    </dxf>
  </rfmt>
  <rfmt sheetId="5" sqref="B86">
    <dxf>
      <fill>
        <patternFill>
          <bgColor rgb="FF92D050"/>
        </patternFill>
      </fill>
    </dxf>
  </rfmt>
  <rfmt sheetId="5" sqref="B87">
    <dxf>
      <fill>
        <patternFill>
          <bgColor rgb="FF92D050"/>
        </patternFill>
      </fill>
    </dxf>
  </rfmt>
</revisions>
</file>

<file path=xl/revisions/revisionLog2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34">
    <dxf>
      <fill>
        <patternFill>
          <bgColor rgb="FF92D050"/>
        </patternFill>
      </fill>
    </dxf>
  </rfmt>
  <rfmt sheetId="4" sqref="B74">
    <dxf>
      <fill>
        <patternFill>
          <bgColor rgb="FF92D050"/>
        </patternFill>
      </fill>
    </dxf>
  </rfmt>
  <rfmt sheetId="4" sqref="B27">
    <dxf>
      <fill>
        <patternFill>
          <bgColor rgb="FF92D050"/>
        </patternFill>
      </fill>
    </dxf>
  </rfmt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0" sqref="A194">
    <dxf>
      <fill>
        <patternFill patternType="solid">
          <bgColor rgb="FFFFFF00"/>
        </patternFill>
      </fill>
    </dxf>
  </rfmt>
  <rfmt sheetId="10" sqref="A196">
    <dxf>
      <fill>
        <patternFill patternType="solid">
          <bgColor rgb="FFFFFF00"/>
        </patternFill>
      </fill>
    </dxf>
  </rfmt>
  <rcc rId="2788" sId="7">
    <nc r="B77">
      <f>orig!A194</f>
    </nc>
  </rcc>
  <rcc rId="2789" sId="7">
    <nc r="B83">
      <f>orig!A196</f>
    </nc>
  </rcc>
  <rfmt sheetId="7" sqref="A77:C77">
    <dxf>
      <fill>
        <patternFill>
          <bgColor rgb="FFFFFF00"/>
        </patternFill>
      </fill>
    </dxf>
  </rfmt>
  <rfmt sheetId="7" sqref="A83:C83">
    <dxf>
      <fill>
        <patternFill>
          <bgColor rgb="FFFFFF00"/>
        </patternFill>
      </fill>
    </dxf>
  </rfmt>
</revisions>
</file>

<file path=xl/revisions/revisionLog2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5" sqref="B21">
    <dxf>
      <fill>
        <patternFill>
          <bgColor rgb="FF92D050"/>
        </patternFill>
      </fill>
    </dxf>
  </rfmt>
  <rfmt sheetId="7" sqref="B44">
    <dxf>
      <fill>
        <patternFill>
          <bgColor rgb="FF92D050"/>
        </patternFill>
      </fill>
    </dxf>
  </rfmt>
</revisions>
</file>

<file path=xl/revisions/revisionLog2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5" sqref="B18">
    <dxf>
      <fill>
        <patternFill>
          <bgColor rgb="FF92D050"/>
        </patternFill>
      </fill>
    </dxf>
  </rfmt>
  <rfmt sheetId="5" sqref="B22">
    <dxf>
      <fill>
        <patternFill>
          <bgColor rgb="FF92D050"/>
        </patternFill>
      </fill>
    </dxf>
  </rfmt>
  <rfmt sheetId="6" sqref="B28">
    <dxf>
      <fill>
        <patternFill>
          <bgColor rgb="FF92D050"/>
        </patternFill>
      </fill>
    </dxf>
  </rfmt>
  <rfmt sheetId="6" sqref="B35">
    <dxf>
      <fill>
        <patternFill>
          <bgColor rgb="FF92D050"/>
        </patternFill>
      </fill>
    </dxf>
  </rfmt>
  <rfmt sheetId="6" sqref="B83">
    <dxf>
      <fill>
        <patternFill>
          <bgColor rgb="FF92D050"/>
        </patternFill>
      </fill>
    </dxf>
  </rfmt>
  <rfmt sheetId="5" sqref="B66">
    <dxf>
      <fill>
        <patternFill>
          <bgColor rgb="FF92D050"/>
        </patternFill>
      </fill>
    </dxf>
  </rfmt>
  <rfmt sheetId="5" sqref="B67">
    <dxf>
      <fill>
        <patternFill>
          <bgColor rgb="FF92D050"/>
        </patternFill>
      </fill>
    </dxf>
  </rfmt>
</revisions>
</file>

<file path=xl/revisions/revisionLog2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5" sqref="B74">
    <dxf>
      <fill>
        <patternFill>
          <bgColor rgb="FF92D050"/>
        </patternFill>
      </fill>
    </dxf>
  </rfmt>
</revisions>
</file>

<file path=xl/revisions/revisionLog2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6" sqref="B74">
    <dxf>
      <fill>
        <patternFill>
          <bgColor rgb="FF92D050"/>
        </patternFill>
      </fill>
    </dxf>
  </rfmt>
</revisions>
</file>

<file path=xl/revisions/revisionLog2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5" sqref="B20">
    <dxf>
      <fill>
        <patternFill>
          <bgColor rgb="FF92D050"/>
        </patternFill>
      </fill>
    </dxf>
  </rfmt>
  <rfmt sheetId="6" sqref="B47">
    <dxf>
      <fill>
        <patternFill>
          <bgColor rgb="FF92D050"/>
        </patternFill>
      </fill>
    </dxf>
  </rfmt>
  <rfmt sheetId="6" sqref="B30">
    <dxf>
      <fill>
        <patternFill>
          <bgColor rgb="FF92D050"/>
        </patternFill>
      </fill>
    </dxf>
  </rfmt>
  <rfmt sheetId="5" sqref="B15">
    <dxf>
      <fill>
        <patternFill>
          <bgColor rgb="FF92D050"/>
        </patternFill>
      </fill>
    </dxf>
  </rfmt>
  <rfmt sheetId="6" sqref="B46">
    <dxf>
      <fill>
        <patternFill>
          <bgColor rgb="FF92D050"/>
        </patternFill>
      </fill>
    </dxf>
  </rfmt>
</revisions>
</file>

<file path=xl/revisions/revisionLog2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5" sqref="B80">
    <dxf>
      <fill>
        <patternFill>
          <bgColor rgb="FF92D050"/>
        </patternFill>
      </fill>
    </dxf>
  </rfmt>
  <rfmt sheetId="6" sqref="B29">
    <dxf>
      <fill>
        <patternFill>
          <bgColor rgb="FF92D050"/>
        </patternFill>
      </fill>
    </dxf>
  </rfmt>
</revisions>
</file>

<file path=xl/revisions/revisionLog2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7" sqref="B29">
    <dxf>
      <fill>
        <patternFill>
          <bgColor rgb="FF92D050"/>
        </patternFill>
      </fill>
    </dxf>
  </rfmt>
</revisions>
</file>

<file path=xl/revisions/revisionLog2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4" sqref="B21">
    <dxf>
      <fill>
        <patternFill>
          <bgColor rgb="FF92D050"/>
        </patternFill>
      </fill>
    </dxf>
  </rfmt>
  <rfmt sheetId="4" sqref="B92">
    <dxf>
      <fill>
        <patternFill>
          <bgColor rgb="FF92D050"/>
        </patternFill>
      </fill>
    </dxf>
  </rfmt>
  <rfmt sheetId="4" sqref="B14">
    <dxf>
      <fill>
        <patternFill patternType="solid">
          <bgColor rgb="FF92D050"/>
        </patternFill>
      </fill>
    </dxf>
  </rfmt>
  <rfmt sheetId="4" sqref="B13">
    <dxf>
      <fill>
        <patternFill>
          <bgColor rgb="FF92D050"/>
        </patternFill>
      </fill>
    </dxf>
  </rfmt>
</revisions>
</file>

<file path=xl/revisions/revisionLog2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6" sqref="B20">
    <dxf>
      <fill>
        <patternFill>
          <bgColor rgb="FF92D050"/>
        </patternFill>
      </fill>
    </dxf>
  </rfmt>
  <rfmt sheetId="5" sqref="B73">
    <dxf>
      <fill>
        <patternFill>
          <bgColor rgb="FF92D050"/>
        </patternFill>
      </fill>
    </dxf>
  </rfmt>
  <rfmt sheetId="4" sqref="B93">
    <dxf>
      <fill>
        <patternFill>
          <bgColor rgb="FF92D050"/>
        </patternFill>
      </fill>
    </dxf>
  </rfmt>
  <rfmt sheetId="5" sqref="B14">
    <dxf>
      <fill>
        <patternFill>
          <bgColor rgb="FF92D050"/>
        </patternFill>
      </fill>
    </dxf>
  </rfmt>
</revisions>
</file>

<file path=xl/revisions/revisionLog2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6" sqref="B40">
    <dxf>
      <fill>
        <patternFill>
          <bgColor rgb="FF92D050"/>
        </patternFill>
      </fill>
    </dxf>
  </rfmt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90" sId="6">
    <nc r="B67">
      <f>orig!A68</f>
    </nc>
  </rcc>
  <rcc rId="2791" sId="10">
    <oc r="A68" t="inlineStr">
      <is>
        <t xml:space="preserve">DLV 286N </t>
      </is>
    </oc>
    <nc r="A68" t="inlineStr">
      <is>
        <t>DMY 716 L</t>
      </is>
    </nc>
  </rcc>
  <rcc rId="2792" sId="6">
    <nc r="A67" t="inlineStr">
      <is>
        <t>Bomag Roller</t>
      </is>
    </nc>
  </rcc>
  <rcc rId="2793" sId="6">
    <nc r="O67">
      <f>+M67+N67</f>
    </nc>
  </rcc>
  <rcc rId="2794" sId="6">
    <nc r="N67">
      <f>M67/CALC!$A$8*CALC!$A$6</f>
    </nc>
  </rcc>
  <rcc rId="2795" sId="6">
    <nc r="M67">
      <f>SUM(E67:L67)</f>
    </nc>
  </rcc>
  <rcc rId="2796" sId="6" numFmtId="34">
    <nc r="K67">
      <v>0</v>
    </nc>
  </rcc>
  <rcc rId="2797" sId="6" numFmtId="34">
    <nc r="I67">
      <v>169375.69</v>
    </nc>
  </rcc>
  <rcc rId="2798" sId="6">
    <nc r="H67">
      <f>115000</f>
    </nc>
  </rcc>
  <rcc rId="2799" sId="6">
    <nc r="G67">
      <f>33000*(1+CALC!$A$2)</f>
    </nc>
  </rcc>
  <rcc rId="2800" sId="6" numFmtId="34">
    <nc r="F67">
      <v>3000</v>
    </nc>
  </rcc>
  <rcc rId="2801" sId="6">
    <nc r="E67">
      <f>+D67/P67*(CALC!$A$4)</f>
    </nc>
  </rcc>
  <rcc rId="2802" sId="6" numFmtId="4">
    <nc r="D67">
      <v>1000</v>
    </nc>
  </rcc>
  <rcc rId="2803" sId="6">
    <nc r="C67">
      <v>692</v>
    </nc>
  </rcc>
  <rfmt sheetId="6" sqref="A6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rc rId="2804" sId="6" ref="A67:XFD67" action="insertRow">
    <undo index="65535" exp="area" ref3D="1" dr="$A$140:$XFD$140" dn="Z_DF69299D_7752_4436_A45D_28F739CEE21B_.wvu.Rows" sId="6"/>
    <undo index="65535" exp="area" ref3D="1" dr="$A$140:$XFD$140" dn="Z_6C0BD6A7_6718_429D_82D9_D2FE0341EA2C_.wvu.Rows" sId="6"/>
    <undo index="65535" exp="area" ref3D="1" dr="$A$140:$XFD$140" dn="Z_594C4AB0_8D5F_4373_9663_410F4413FE3A_.wvu.Rows" sId="6"/>
    <undo index="65535" exp="area" ref3D="1" dr="$P$1:$P$1048576" dn="Z_DF69299D_7752_4436_A45D_28F739CEE21B_.wvu.Cols" sId="6"/>
  </rrc>
  <rrc rId="2805" sId="6" ref="A67:XFD67" action="deleteRow">
    <undo index="65535" exp="area" ref3D="1" dr="$A$141:$XFD$141" dn="Z_DF69299D_7752_4436_A45D_28F739CEE21B_.wvu.Rows" sId="6"/>
    <undo index="65535" exp="area" ref3D="1" dr="$A$141:$XFD$141" dn="Z_6C0BD6A7_6718_429D_82D9_D2FE0341EA2C_.wvu.Rows" sId="6"/>
    <undo index="65535" exp="area" ref3D="1" dr="$A$141:$XFD$141" dn="Z_594C4AB0_8D5F_4373_9663_410F4413FE3A_.wvu.Rows" sId="6"/>
    <undo index="65535" exp="area" ref3D="1" dr="$P$1:$P$1048576" dn="Z_DF69299D_7752_4436_A45D_28F739CEE21B_.wvu.Cols" sId="6"/>
    <rfmt sheetId="6" xfDxf="1" sqref="A67:XFD67" start="0" length="0">
      <dxf>
        <font>
          <sz val="8"/>
          <name val="Consolas"/>
          <family val="3"/>
        </font>
      </dxf>
    </rfmt>
    <rcc rId="0" sId="6" dxf="1">
      <nc r="A67" t="inlineStr">
        <is>
          <t>Bomag Roller</t>
        </is>
      </nc>
      <ndxf>
        <font>
          <sz val="7"/>
          <name val="Consolas"/>
          <family val="3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6" dxf="1">
      <nc r="B67">
        <f>orig!A68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6" dxf="1">
      <nc r="C67">
        <v>692</v>
      </nc>
      <ndxf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6" dxf="1" numFmtId="4">
      <nc r="D67">
        <v>1000</v>
      </nc>
      <ndxf>
        <numFmt numFmtId="167" formatCode="#,##0;[Red]#,##0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6" s="1" dxf="1">
      <nc r="E67">
        <f>+D67/P67*(CALC!$A$4)</f>
      </nc>
      <ndxf>
        <numFmt numFmtId="35" formatCode="_(* #,##0.00_);_(* \(#,##0.00\);_(* &quot;-&quot;??_);_(@_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6" s="1" dxf="1" numFmtId="34">
      <nc r="F67">
        <v>3000</v>
      </nc>
      <ndxf>
        <numFmt numFmtId="35" formatCode="_(* #,##0.00_);_(* \(#,##0.00\);_(* &quot;-&quot;??_);_(@_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6" s="1" dxf="1">
      <nc r="G67">
        <f>33000*(1+CALC!$A$2)</f>
      </nc>
      <ndxf>
        <numFmt numFmtId="35" formatCode="_(* #,##0.00_);_(* \(#,##0.00\);_(* &quot;-&quot;??_);_(@_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6" s="1" dxf="1">
      <nc r="H67">
        <f>115000</f>
      </nc>
      <ndxf>
        <numFmt numFmtId="35" formatCode="_(* #,##0.00_);_(* \(#,##0.00\);_(* &quot;-&quot;??_);_(@_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6" s="1" dxf="1" numFmtId="34">
      <nc r="I67">
        <v>169375.69</v>
      </nc>
      <ndxf>
        <numFmt numFmtId="35" formatCode="_(* #,##0.00_);_(* \(#,##0.00\);_(* &quot;-&quot;??_);_(@_)"/>
        <fill>
          <patternFill patternType="solid">
            <bgColor rgb="FFFF0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6" s="1" sqref="J67" start="0" length="0">
      <dxf>
        <numFmt numFmtId="35" formatCode="_(* #,##0.00_);_(* \(#,##0.00\);_(* &quot;-&quot;??_);_(@_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6" s="1" dxf="1" numFmtId="34">
      <nc r="K67">
        <v>0</v>
      </nc>
      <ndxf>
        <numFmt numFmtId="35" formatCode="_(* #,##0.00_);_(* \(#,##0.00\);_(* &quot;-&quot;??_);_(@_)"/>
        <fill>
          <patternFill patternType="solid">
            <bgColor theme="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6" s="1" sqref="L67" start="0" length="0">
      <dxf>
        <numFmt numFmtId="35" formatCode="_(* #,##0.00_);_(* \(#,##0.00\);_(* &quot;-&quot;??_);_(@_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6" s="1" dxf="1">
      <nc r="M67">
        <f>SUM(E67:L67)</f>
      </nc>
      <ndxf>
        <numFmt numFmtId="35" formatCode="_(* #,##0.00_);_(* \(#,##0.00\);_(* &quot;-&quot;??_);_(@_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6" s="1" dxf="1">
      <nc r="N67">
        <f>M67/CALC!$A$8*CALC!$A$6</f>
      </nc>
      <ndxf>
        <font>
          <b/>
          <sz val="8"/>
          <color auto="1"/>
          <name val="Consolas"/>
          <family val="3"/>
          <scheme val="none"/>
        </font>
        <numFmt numFmtId="35" formatCode="_(* #,##0.00_);_(* \(#,##0.00\);_(* &quot;-&quot;??_);_(@_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6" s="1" dxf="1">
      <nc r="O67">
        <f>+M67+N67</f>
      </nc>
      <ndxf>
        <numFmt numFmtId="35" formatCode="_(* #,##0.00_);_(* \(#,##0.00\);_(* &quot;-&quot;??_);_(@_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6" s="1" sqref="P67" start="0" length="0">
      <dxf>
        <numFmt numFmtId="35" formatCode="_(* #,##0.00_);_(* \(#,##0.00\);_(* &quot;-&quot;??_);_(@_)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6" s="1" sqref="Q67" start="0" length="0">
      <dxf>
        <numFmt numFmtId="35" formatCode="_(* #,##0.00_);_(* \(#,##0.00\);_(* &quot;-&quot;??_);_(@_)"/>
        <alignment horizontal="center"/>
      </dxf>
    </rfmt>
  </rrc>
  <rcc rId="2806" sId="2">
    <oc r="E10">
      <f>+D10/P10*(CALC!$A$4)*1.1</f>
    </oc>
    <nc r="E10">
      <f>+D10/P9*(CALC!$A$4)*1.1</f>
    </nc>
  </rcc>
  <rcc rId="2807" sId="6">
    <oc r="B88" t="inlineStr">
      <is>
        <t>DLV 286 N [063]</t>
      </is>
    </oc>
    <nc r="B88" t="inlineStr">
      <is>
        <t>DMY 716 L [063]</t>
      </is>
    </nc>
  </rcc>
  <rfmt sheetId="6" sqref="A88:C88">
    <dxf>
      <fill>
        <patternFill>
          <bgColor rgb="FFFFFF00"/>
        </patternFill>
      </fill>
    </dxf>
  </rfmt>
  <rcc rId="2808" sId="6" numFmtId="4">
    <oc r="D88">
      <v>0</v>
    </oc>
    <nc r="D88">
      <v>250</v>
    </nc>
  </rcc>
  <rcc rId="2809" sId="6" numFmtId="4">
    <oc r="D88">
      <v>0</v>
    </oc>
    <nc r="D88">
      <v>800</v>
    </nc>
  </rcc>
  <rcv guid="{DF69299D-7752-4436-A45D-28F739CEE21B}" action="delete"/>
  <rdn rId="0" localSheetId="1" customView="1" name="Z_DF69299D_7752_4436_A45D_28F739CEE21B_.wvu.PrintArea" hidden="1" oldHidden="1">
    <formula>mayor!$A$1:$Q$42</formula>
    <oldFormula>mayor!$A$1:$Q$42</oldFormula>
  </rdn>
  <rdn rId="0" localSheetId="1" customView="1" name="Z_DF69299D_7752_4436_A45D_28F739CEE21B_.wvu.Cols" hidden="1" oldHidden="1">
    <formula>mayor!$P:$P</formula>
    <oldFormula>mayor!$P:$P</oldFormula>
  </rdn>
  <rdn rId="0" localSheetId="1" customView="1" name="Z_DF69299D_7752_4436_A45D_28F739CEE21B_.wvu.FilterData" hidden="1" oldHidden="1">
    <formula>mayor!$A$16:$C$16</formula>
  </rdn>
  <rdn rId="0" localSheetId="2" customView="1" name="Z_DF69299D_7752_4436_A45D_28F739CEE21B_.wvu.PrintArea" hidden="1" oldHidden="1">
    <formula>income!$A$1:$Q$16</formula>
    <oldFormula>income!$A$1:$Q$16</oldFormula>
  </rdn>
  <rdn rId="0" localSheetId="2" customView="1" name="Z_DF69299D_7752_4436_A45D_28F739CEE21B_.wvu.Cols" hidden="1" oldHidden="1">
    <formula>income!$P:$P</formula>
    <oldFormula>income!$P:$P</oldFormula>
  </rdn>
  <rdn rId="0" localSheetId="3" customView="1" name="Z_DF69299D_7752_4436_A45D_28F739CEE21B_.wvu.PrintArea" hidden="1" oldHidden="1">
    <formula>workshop!$A$1:$Q$20</formula>
    <oldFormula>workshop!$A$1:$Q$20</oldFormula>
  </rdn>
  <rdn rId="0" localSheetId="3" customView="1" name="Z_DF69299D_7752_4436_A45D_28F739CEE21B_.wvu.Cols" hidden="1" oldHidden="1">
    <formula>workshop!$J:$J,workshop!$P:$P</formula>
    <oldFormula>workshop!$J:$J,workshop!$P:$P</oldFormula>
  </rdn>
  <rdn rId="0" localSheetId="4" customView="1" name="Z_DF69299D_7752_4436_A45D_28F739CEE21B_.wvu.PrintArea" hidden="1" oldHidden="1">
    <formula>'COMMUNITY SERV'!$A$1:$Q$102</formula>
    <oldFormula>'COMMUNITY SERV'!$A$1:$Q$102</oldFormula>
  </rdn>
  <rdn rId="0" localSheetId="5" customView="1" name="Z_DF69299D_7752_4436_A45D_28F739CEE21B_.wvu.PrintArea" hidden="1" oldHidden="1">
    <formula>EEM!$A$1:$Q$97</formula>
    <oldFormula>EEM!$A$1:$Q$97</oldFormula>
  </rdn>
  <rdn rId="0" localSheetId="6" customView="1" name="Z_DF69299D_7752_4436_A45D_28F739CEE21B_.wvu.PrintArea" hidden="1" oldHidden="1">
    <formula>CEM!$A$1:$Q$145</formula>
    <oldFormula>CEM!$A$1:$Q$145</oldFormula>
  </rdn>
  <rdn rId="0" localSheetId="6" customView="1" name="Z_DF69299D_7752_4436_A45D_28F739CEE21B_.wvu.Rows" hidden="1" oldHidden="1">
    <formula>CEM!$140:$140</formula>
    <oldFormula>CEM!$140:$140</oldFormula>
  </rdn>
  <rdn rId="0" localSheetId="6" customView="1" name="Z_DF69299D_7752_4436_A45D_28F739CEE21B_.wvu.Cols" hidden="1" oldHidden="1">
    <formula>CEM!$P:$P</formula>
    <oldFormula>CEM!$P:$P</oldFormula>
  </rdn>
  <rdn rId="0" localSheetId="7" customView="1" name="Z_DF69299D_7752_4436_A45D_28F739CEE21B_.wvu.PrintArea" hidden="1" oldHidden="1">
    <formula>MDC!$A$1:$Q$90</formula>
    <oldFormula>MDC!$A$1:$Q$90</oldFormula>
  </rdn>
  <rdn rId="0" localSheetId="7" customView="1" name="Z_DF69299D_7752_4436_A45D_28F739CEE21B_.wvu.Rows" hidden="1" oldHidden="1">
    <formula>MDC!$67:$73</formula>
    <oldFormula>MDC!$67:$73</oldFormula>
  </rdn>
  <rdn rId="0" localSheetId="7" customView="1" name="Z_DF69299D_7752_4436_A45D_28F739CEE21B_.wvu.Cols" hidden="1" oldHidden="1">
    <formula>MDC!$J:$J,MDC!$P:$P</formula>
    <oldFormula>MDC!$J:$J,MDC!$P:$P</oldFormula>
  </rdn>
  <rdn rId="0" localSheetId="8" customView="1" name="Z_DF69299D_7752_4436_A45D_28F739CEE21B_.wvu.PrintArea" hidden="1" oldHidden="1">
    <formula>BUDGET!$A$1:$B$76</formula>
    <oldFormula>BUDGET!$A$1:$B$76</oldFormula>
  </rdn>
  <rdn rId="0" localSheetId="8" customView="1" name="Z_DF69299D_7752_4436_A45D_28F739CEE21B_.wvu.Rows" hidden="1" oldHidden="1">
    <formula>BUDGET!$3:$7,BUDGET!$9:$9,BUDGET!$11:$11,BUDGET!$13:$16,BUDGET!$18:$21,BUDGET!$23:$23,BUDGET!$25:$28,BUDGET!$30:$36,BUDGET!$38:$38,BUDGET!$40:$40,BUDGET!$42:$47,BUDGET!$49:$49,BUDGET!$51:$54,BUDGET!$56:$59,BUDGET!$61:$66,BUDGET!$68:$68,BUDGET!$70:$70</formula>
    <oldFormula>BUDGET!$3:$7,BUDGET!$9:$9,BUDGET!$11:$11,BUDGET!$13:$16,BUDGET!$18:$21,BUDGET!$23:$23,BUDGET!$25:$28,BUDGET!$30:$36,BUDGET!$38:$38,BUDGET!$40:$40,BUDGET!$42:$47,BUDGET!$49:$49,BUDGET!$51:$54,BUDGET!$56:$59,BUDGET!$61:$66,BUDGET!$68:$68,BUDGET!$70:$70</oldFormula>
  </rdn>
  <rdn rId="0" localSheetId="8" customView="1" name="Z_DF69299D_7752_4436_A45D_28F739CEE21B_.wvu.Cols" hidden="1" oldHidden="1">
    <formula>BUDGET!$C:$S</formula>
    <oldFormula>BUDGET!$C:$S</oldFormula>
  </rdn>
  <rdn rId="0" localSheetId="10" customView="1" name="Z_DF69299D_7752_4436_A45D_28F739CEE21B_.wvu.FilterData" hidden="1" oldHidden="1">
    <formula>orig!$A$1:$AN$198</formula>
    <oldFormula>orig!$A$1:$AN$198</oldFormula>
  </rdn>
  <rdn rId="0" localSheetId="11" customView="1" name="Z_DF69299D_7752_4436_A45D_28F739CEE21B_.wvu.Cols" hidden="1" oldHidden="1">
    <formula>'1-10'!$B:$B</formula>
    <oldFormula>'1-10'!$B:$B</oldFormula>
  </rdn>
  <rdn rId="0" localSheetId="11" customView="1" name="Z_DF69299D_7752_4436_A45D_28F739CEE21B_.wvu.FilterData" hidden="1" oldHidden="1">
    <formula>'1-10'!$A$1:$AY$100</formula>
    <oldFormula>'1-10'!$A$1:$AY$100</oldFormula>
  </rdn>
  <rdn rId="0" localSheetId="12" customView="1" name="Z_DF69299D_7752_4436_A45D_28F739CEE21B_.wvu.Rows" hidden="1" oldHidden="1">
    <formula>'new veh 2012'!$96:$97</formula>
    <oldFormula>'new veh 2012'!$96:$97</oldFormula>
  </rdn>
  <rdn rId="0" localSheetId="12" customView="1" name="Z_DF69299D_7752_4436_A45D_28F739CEE21B_.wvu.FilterData" hidden="1" oldHidden="1">
    <formula>'new veh 2012'!$A$1:$J$95</formula>
    <oldFormula>'new veh 2012'!$A$1:$J$95</oldFormula>
  </rdn>
  <rdn rId="0" localSheetId="14" customView="1" name="Z_DF69299D_7752_4436_A45D_28F739CEE21B_.wvu.FilterData" hidden="1" oldHidden="1">
    <formula>stbk!$A$1:$G$199</formula>
    <oldFormula>stbk!$A$1:$G$199</oldFormula>
  </rdn>
  <rcv guid="{DF69299D-7752-4436-A45D-28F739CEE21B}" action="add"/>
</revisions>
</file>

<file path=xl/revisions/revisionLog2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4" sqref="A37">
    <dxf>
      <fill>
        <patternFill>
          <bgColor rgb="FF92D050"/>
        </patternFill>
      </fill>
    </dxf>
  </rfmt>
  <rfmt sheetId="4" sqref="A35">
    <dxf>
      <fill>
        <patternFill>
          <bgColor rgb="FF92D050"/>
        </patternFill>
      </fill>
    </dxf>
  </rfmt>
</revisions>
</file>

<file path=xl/revisions/revisionLog2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4" sqref="A34">
    <dxf>
      <fill>
        <patternFill>
          <bgColor rgb="FF92D050"/>
        </patternFill>
      </fill>
    </dxf>
  </rfmt>
</revisions>
</file>

<file path=xl/revisions/revisionLog2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6" sqref="B75">
    <dxf>
      <fill>
        <patternFill>
          <bgColor rgb="FF92D050"/>
        </patternFill>
      </fill>
    </dxf>
  </rfmt>
</revisions>
</file>

<file path=xl/revisions/revisionLog2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4" sqref="B99">
    <dxf>
      <fill>
        <patternFill>
          <bgColor rgb="FF92D050"/>
        </patternFill>
      </fill>
    </dxf>
  </rfmt>
</revisions>
</file>

<file path=xl/revisions/revisionLog2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7" sqref="B39">
    <dxf>
      <fill>
        <patternFill>
          <bgColor rgb="FF92D050"/>
        </patternFill>
      </fill>
    </dxf>
  </rfmt>
</revisions>
</file>

<file path=xl/revisions/revisionLog2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6" sqref="B80:B81">
    <dxf>
      <fill>
        <patternFill>
          <bgColor rgb="FF92D050"/>
        </patternFill>
      </fill>
    </dxf>
  </rfmt>
</revisions>
</file>

<file path=xl/revisions/revisionLog2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7" sqref="B34">
    <dxf>
      <fill>
        <patternFill>
          <bgColor rgb="FF92D050"/>
        </patternFill>
      </fill>
    </dxf>
  </rfmt>
  <rfmt sheetId="5" sqref="B19">
    <dxf>
      <fill>
        <patternFill>
          <bgColor rgb="FF92D050"/>
        </patternFill>
      </fill>
    </dxf>
  </rfmt>
</revisions>
</file>

<file path=xl/revisions/revisionLog2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4" sqref="B91">
    <dxf>
      <fill>
        <patternFill>
          <bgColor rgb="FF92D050"/>
        </patternFill>
      </fill>
    </dxf>
  </rfmt>
</revisions>
</file>

<file path=xl/revisions/revisionLog2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6" sqref="B21:B22">
    <dxf>
      <fill>
        <patternFill>
          <bgColor rgb="FF92D050"/>
        </patternFill>
      </fill>
    </dxf>
  </rfmt>
</revisions>
</file>

<file path=xl/revisions/revisionLog2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B15">
    <dxf>
      <fill>
        <patternFill>
          <bgColor rgb="FF92D050"/>
        </patternFill>
      </fill>
    </dxf>
  </rfmt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6" sqref="A65:B66">
    <dxf>
      <fill>
        <patternFill patternType="solid">
          <bgColor rgb="FFFFFF00"/>
        </patternFill>
      </fill>
    </dxf>
  </rfmt>
  <rcc rId="2834" sId="1" numFmtId="34">
    <oc r="F22">
      <v>3000</v>
    </oc>
    <nc r="F22">
      <v>23400</v>
    </nc>
  </rcc>
  <rcc rId="2835" sId="1" numFmtId="34">
    <oc r="F28">
      <v>3000</v>
    </oc>
    <nc r="F28">
      <v>0</v>
    </nc>
  </rcc>
  <rcc rId="2836" sId="1" numFmtId="4">
    <oc r="D28">
      <v>31380</v>
    </oc>
    <nc r="D28">
      <v>0</v>
    </nc>
  </rcc>
  <rcc rId="2837" sId="1" numFmtId="34">
    <oc r="G28">
      <v>50000</v>
    </oc>
    <nc r="G28">
      <v>0</v>
    </nc>
  </rcc>
  <rcc rId="2838" sId="1" numFmtId="34">
    <oc r="H28">
      <v>40000</v>
    </oc>
    <nc r="H28">
      <v>0</v>
    </nc>
  </rcc>
  <rcc rId="2839" sId="1" numFmtId="34">
    <oc r="I28">
      <v>200000</v>
    </oc>
    <nc r="I28">
      <v>0</v>
    </nc>
  </rcc>
  <rcc rId="2840" sId="1" numFmtId="34">
    <oc r="F34">
      <v>3000</v>
    </oc>
    <nc r="F34">
      <v>23400</v>
    </nc>
  </rcc>
  <rcc rId="2841" sId="1" numFmtId="34">
    <oc r="F15">
      <v>3000</v>
    </oc>
    <nc r="F15">
      <v>23400</v>
    </nc>
  </rcc>
  <rcc rId="2842" sId="1" numFmtId="34">
    <oc r="F16">
      <v>3000</v>
    </oc>
    <nc r="F16">
      <v>23400</v>
    </nc>
  </rcc>
  <rcc rId="2843" sId="2" numFmtId="34">
    <oc r="F9">
      <v>3000</v>
    </oc>
    <nc r="F9">
      <v>23400</v>
    </nc>
  </rcc>
  <rcc rId="2844" sId="2" numFmtId="34">
    <oc r="F10">
      <v>3000</v>
    </oc>
    <nc r="F10">
      <v>23400</v>
    </nc>
  </rcc>
</revisions>
</file>

<file path=xl/revisions/revisionLog2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5" sqref="B40">
    <dxf>
      <fill>
        <patternFill>
          <bgColor rgb="FF92D050"/>
        </patternFill>
      </fill>
    </dxf>
  </rfmt>
  <rfmt sheetId="5" sqref="B47">
    <dxf>
      <fill>
        <patternFill>
          <bgColor rgb="FF92D050"/>
        </patternFill>
      </fill>
    </dxf>
  </rfmt>
</revisions>
</file>

<file path=xl/revisions/revisionLog26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5" sqref="B39">
    <dxf>
      <fill>
        <patternFill>
          <bgColor rgb="FF92D050"/>
        </patternFill>
      </fill>
    </dxf>
  </rfmt>
  <rfmt sheetId="5" sqref="B32">
    <dxf>
      <fill>
        <patternFill>
          <bgColor rgb="FF92D050"/>
        </patternFill>
      </fill>
    </dxf>
  </rfmt>
</revisions>
</file>

<file path=xl/revisions/revisionLog26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5" sqref="B31">
    <dxf>
      <fill>
        <patternFill>
          <bgColor rgb="FF92D050"/>
        </patternFill>
      </fill>
    </dxf>
  </rfmt>
</revisions>
</file>

<file path=xl/revisions/revisionLog26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4" sqref="B67:B69">
    <dxf>
      <fill>
        <patternFill>
          <bgColor rgb="FF92D050"/>
        </patternFill>
      </fill>
    </dxf>
  </rfmt>
</revisions>
</file>

<file path=xl/revisions/revisionLog26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4" sqref="A33">
    <dxf>
      <fill>
        <patternFill>
          <bgColor rgb="FF92D050"/>
        </patternFill>
      </fill>
    </dxf>
  </rfmt>
  <rfmt sheetId="4" sqref="B75">
    <dxf>
      <fill>
        <patternFill>
          <bgColor rgb="FF92D050"/>
        </patternFill>
      </fill>
    </dxf>
  </rfmt>
  <rfmt sheetId="1" sqref="B16">
    <dxf>
      <fill>
        <patternFill>
          <bgColor rgb="FF92D050"/>
        </patternFill>
      </fill>
    </dxf>
  </rfmt>
</revisions>
</file>

<file path=xl/revisions/revisionLog26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4" sqref="A38">
    <dxf>
      <fill>
        <patternFill>
          <bgColor rgb="FF92D050"/>
        </patternFill>
      </fill>
    </dxf>
  </rfmt>
</revisions>
</file>

<file path=xl/revisions/revisionLog26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6" sqref="B111">
    <dxf>
      <fill>
        <patternFill>
          <bgColor rgb="FF92D050"/>
        </patternFill>
      </fill>
    </dxf>
  </rfmt>
</revisions>
</file>

<file path=xl/revisions/revisionLog26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4" sqref="A57">
    <dxf>
      <fill>
        <patternFill>
          <bgColor rgb="FF92D050"/>
        </patternFill>
      </fill>
    </dxf>
  </rfmt>
  <rfmt sheetId="4" sqref="A44">
    <dxf>
      <fill>
        <patternFill>
          <bgColor rgb="FF92D050"/>
        </patternFill>
      </fill>
    </dxf>
  </rfmt>
</revisions>
</file>

<file path=xl/revisions/revisionLog26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5" sqref="B88">
    <dxf>
      <fill>
        <patternFill>
          <bgColor rgb="FF92D050"/>
        </patternFill>
      </fill>
    </dxf>
  </rfmt>
  <rfmt sheetId="1" sqref="B28">
    <dxf>
      <fill>
        <patternFill>
          <bgColor rgb="FF92D050"/>
        </patternFill>
      </fill>
    </dxf>
  </rfmt>
</revisions>
</file>

<file path=xl/revisions/revisionLog26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90" sId="1">
    <oc r="B28" t="inlineStr">
      <is>
        <t>CJF 828 L</t>
      </is>
    </oc>
    <nc r="B28" t="inlineStr">
      <is>
        <t xml:space="preserve"> DNB 080 L</t>
      </is>
    </nc>
  </rcc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845" sId="4" numFmtId="34">
    <oc r="F7">
      <v>3000</v>
    </oc>
    <nc r="F7">
      <v>23400</v>
    </nc>
  </rcc>
  <rcc rId="2846" sId="4" numFmtId="34">
    <oc r="F13">
      <v>3000</v>
    </oc>
    <nc r="F13">
      <v>23400</v>
    </nc>
  </rcc>
  <rcc rId="2847" sId="4" numFmtId="34">
    <oc r="F14">
      <v>3000</v>
    </oc>
    <nc r="F14">
      <v>23400</v>
    </nc>
  </rcc>
  <rcc rId="2848" sId="4" numFmtId="34">
    <oc r="F20">
      <v>3000</v>
    </oc>
    <nc r="F20">
      <v>23400</v>
    </nc>
  </rcc>
  <rcc rId="2849" sId="4" numFmtId="34">
    <oc r="F21">
      <v>3000</v>
    </oc>
    <nc r="F21">
      <v>23400</v>
    </nc>
  </rcc>
  <rcc rId="2850" sId="4" numFmtId="34">
    <oc r="F27">
      <v>3000</v>
    </oc>
    <nc r="F27">
      <v>23400</v>
    </nc>
  </rcc>
  <rcc rId="2851" sId="4" numFmtId="34">
    <oc r="F66">
      <v>3000</v>
    </oc>
    <nc r="F66">
      <v>23400</v>
    </nc>
  </rcc>
  <rcc rId="2852" sId="4" numFmtId="34">
    <oc r="F67">
      <v>3000</v>
    </oc>
    <nc r="F67">
      <v>23400</v>
    </nc>
  </rcc>
  <rcc rId="2853" sId="4" numFmtId="34">
    <oc r="F68">
      <v>3000</v>
    </oc>
    <nc r="F68">
      <v>23400</v>
    </nc>
  </rcc>
  <rcc rId="2854" sId="4" numFmtId="34">
    <oc r="F69">
      <v>3000</v>
    </oc>
    <nc r="F69">
      <v>23400</v>
    </nc>
  </rcc>
  <rcc rId="2855" sId="4" numFmtId="34">
    <oc r="F70">
      <v>3000</v>
    </oc>
    <nc r="F70">
      <v>23400</v>
    </nc>
  </rcc>
  <rcc rId="2856" sId="4" numFmtId="34">
    <oc r="F71">
      <v>3000</v>
    </oc>
    <nc r="F71">
      <v>23400</v>
    </nc>
  </rcc>
  <rcc rId="2857" sId="4" odxf="1" dxf="1" numFmtId="34">
    <oc r="F72">
      <v>3000</v>
    </oc>
    <nc r="F72">
      <v>23400</v>
    </nc>
    <odxf>
      <fill>
        <patternFill patternType="solid">
          <bgColor theme="6"/>
        </patternFill>
      </fill>
    </odxf>
    <ndxf>
      <fill>
        <patternFill patternType="none">
          <bgColor indexed="65"/>
        </patternFill>
      </fill>
    </ndxf>
  </rcc>
  <rcc rId="2858" sId="4" numFmtId="34">
    <oc r="F78">
      <v>3000</v>
    </oc>
    <nc r="F78">
      <v>23400</v>
    </nc>
  </rcc>
  <rcc rId="2859" sId="4" numFmtId="34">
    <oc r="F79">
      <v>3000</v>
    </oc>
    <nc r="F79">
      <v>23400</v>
    </nc>
  </rcc>
  <rcc rId="2860" sId="4" numFmtId="34">
    <oc r="F80">
      <v>3000</v>
    </oc>
    <nc r="F80">
      <v>23400</v>
    </nc>
  </rcc>
  <rcc rId="2861" sId="4" numFmtId="34">
    <oc r="F81">
      <v>3000</v>
    </oc>
    <nc r="F81">
      <v>23400</v>
    </nc>
  </rcc>
  <rcc rId="2862" sId="4" numFmtId="34">
    <oc r="F82">
      <v>3000</v>
    </oc>
    <nc r="F82">
      <v>23400</v>
    </nc>
  </rcc>
  <rcc rId="2863" sId="4" numFmtId="34">
    <oc r="F83">
      <v>3000</v>
    </oc>
    <nc r="F83">
      <v>23400</v>
    </nc>
  </rcc>
  <rcc rId="2864" sId="4" numFmtId="34">
    <oc r="F89">
      <v>3000</v>
    </oc>
    <nc r="F89">
      <v>23400</v>
    </nc>
  </rcc>
  <rcc rId="2865" sId="4" numFmtId="34">
    <oc r="F90">
      <v>3000</v>
    </oc>
    <nc r="F90">
      <v>23400</v>
    </nc>
  </rcc>
  <rcc rId="2866" sId="4" numFmtId="34">
    <oc r="F91">
      <v>3000</v>
    </oc>
    <nc r="F91">
      <v>23400</v>
    </nc>
  </rcc>
  <rcc rId="2867" sId="4" numFmtId="34">
    <oc r="F96">
      <v>3000</v>
    </oc>
    <nc r="F96">
      <v>23400</v>
    </nc>
  </rcc>
</revisions>
</file>

<file path=xl/revisions/revisionLog27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4" sqref="A45">
    <dxf>
      <fill>
        <patternFill>
          <bgColor rgb="FF92D050"/>
        </patternFill>
      </fill>
    </dxf>
  </rfmt>
</revisions>
</file>

<file path=xl/revisions/revisionLog27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5" sqref="B89">
    <dxf>
      <fill>
        <patternFill>
          <bgColor rgb="FF92D050"/>
        </patternFill>
      </fill>
    </dxf>
  </rfmt>
</revisions>
</file>

<file path=xl/revisions/revisionLog27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5" sqref="B42">
    <dxf>
      <fill>
        <patternFill patternType="solid">
          <bgColor rgb="FF92D050"/>
        </patternFill>
      </fill>
    </dxf>
  </rfmt>
  <rfmt sheetId="5" sqref="B34">
    <dxf>
      <fill>
        <patternFill>
          <bgColor rgb="FF92D050"/>
        </patternFill>
      </fill>
    </dxf>
  </rfmt>
  <rfmt sheetId="5" sqref="B35">
    <dxf>
      <fill>
        <patternFill>
          <bgColor rgb="FF92D050"/>
        </patternFill>
      </fill>
    </dxf>
  </rfmt>
  <rfmt sheetId="5" sqref="B33">
    <dxf>
      <fill>
        <patternFill>
          <bgColor rgb="FF92D050"/>
        </patternFill>
      </fill>
    </dxf>
  </rfmt>
  <rfmt sheetId="5" sqref="B36">
    <dxf>
      <fill>
        <patternFill>
          <bgColor rgb="FF92D050"/>
        </patternFill>
      </fill>
    </dxf>
  </rfmt>
</revisions>
</file>

<file path=xl/revisions/revisionLog27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4" sqref="A58">
    <dxf>
      <fill>
        <patternFill>
          <bgColor rgb="FF92D050"/>
        </patternFill>
      </fill>
    </dxf>
  </rfmt>
</revisions>
</file>

<file path=xl/revisions/revisionLog27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4" sqref="B94">
    <dxf>
      <fill>
        <patternFill>
          <bgColor rgb="FF92D050"/>
        </patternFill>
      </fill>
    </dxf>
  </rfmt>
  <rfmt sheetId="1" sqref="B35">
    <dxf>
      <fill>
        <patternFill>
          <bgColor rgb="FF92D050"/>
        </patternFill>
      </fill>
    </dxf>
  </rfmt>
</revisions>
</file>

<file path=xl/revisions/revisionLog27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91" sId="1">
    <oc r="B29" t="inlineStr">
      <is>
        <t>FYR 284 L</t>
      </is>
    </oc>
    <nc r="B29" t="inlineStr">
      <is>
        <t>JRY 430 L</t>
      </is>
    </nc>
  </rcc>
  <rfmt sheetId="1" sqref="B30">
    <dxf>
      <fill>
        <patternFill patternType="solid">
          <bgColor rgb="FF92D050"/>
        </patternFill>
      </fill>
    </dxf>
  </rfmt>
</revisions>
</file>

<file path=xl/revisions/revisionLog27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4" sqref="B71">
    <dxf>
      <fill>
        <patternFill>
          <bgColor rgb="FF92D050"/>
        </patternFill>
      </fill>
    </dxf>
  </rfmt>
</revisions>
</file>

<file path=xl/revisions/revisionLog27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92" sId="5">
    <oc r="B37" t="inlineStr">
      <is>
        <t>FZP 282 L</t>
      </is>
    </oc>
    <nc r="B37" t="inlineStr">
      <is>
        <t>JVY 458 L</t>
      </is>
    </nc>
  </rcc>
  <rcc rId="4793" sId="5">
    <oc r="B38" t="inlineStr">
      <is>
        <t>FZP 278 L</t>
      </is>
    </oc>
    <nc r="B38" t="inlineStr">
      <is>
        <t>JVY 451 L</t>
      </is>
    </nc>
  </rcc>
  <rfmt sheetId="5" sqref="B37:B38">
    <dxf>
      <fill>
        <patternFill>
          <bgColor rgb="FF92D050"/>
        </patternFill>
      </fill>
    </dxf>
  </rfmt>
  <rcc rId="4794" sId="5">
    <oc r="A30">
      <f>+'1-10'!C30</f>
    </oc>
    <nc r="A30" t="inlineStr">
      <is>
        <t>Ford Ranger 2 Sin cab 4x4</t>
      </is>
    </nc>
  </rcc>
  <rcc rId="4795" sId="5">
    <oc r="B30">
      <f>+'1-10'!R30</f>
    </oc>
    <nc r="B30" t="inlineStr">
      <is>
        <t>HFY 235 L</t>
      </is>
    </nc>
  </rcc>
  <rfmt sheetId="5" sqref="B30">
    <dxf>
      <fill>
        <patternFill>
          <bgColor rgb="FF92D050"/>
        </patternFill>
      </fill>
    </dxf>
  </rfmt>
  <rrc rId="4796" sId="5" ref="A31:XFD31" action="insertRow">
    <undo index="65535" exp="area" ref3D="1" dr="$P$1:$P$1048576" dn="Z_6C0BD6A7_6718_429D_82D9_D2FE0341EA2C_.wvu.Cols" sId="5"/>
    <undo index="65535" exp="area" ref3D="1" dr="$P$1:$P$1048576" dn="Z_594C4AB0_8D5F_4373_9663_410F4413FE3A_.wvu.Cols" sId="5"/>
  </rrc>
  <rcc rId="4797" sId="5">
    <nc r="A31" t="inlineStr">
      <is>
        <t>Ford Ranger 2 Sin cab 4x5</t>
      </is>
    </nc>
  </rcc>
  <rcc rId="4798" sId="5" odxf="1" dxf="1">
    <oc r="A42" t="inlineStr">
      <is>
        <t>NISSAN   NP 300 4X4 [173]</t>
      </is>
    </oc>
    <nc r="A42" t="inlineStr">
      <is>
        <t>Ford Ranger 2 Sin cab 4x4</t>
      </is>
    </nc>
    <odxf>
      <fill>
        <patternFill>
          <bgColor rgb="FF92D050"/>
        </patternFill>
      </fill>
      <alignment horizontal="general" vertical="bottom"/>
    </odxf>
    <ndxf>
      <fill>
        <patternFill>
          <bgColor rgb="FFFFC000"/>
        </patternFill>
      </fill>
      <alignment horizontal="left" vertical="top"/>
    </ndxf>
  </rcc>
  <rcc rId="4799" sId="5" odxf="1" dxf="1">
    <oc r="A45" t="inlineStr">
      <is>
        <t>NISSAN   NP 300 4X4 [173]</t>
      </is>
    </oc>
    <nc r="A45" t="inlineStr">
      <is>
        <t>Ford Ranger 2 Sin cab 4x4</t>
      </is>
    </nc>
    <odxf>
      <alignment horizontal="general" vertical="bottom"/>
    </odxf>
    <ndxf>
      <alignment horizontal="left" vertical="top"/>
    </ndxf>
  </rcc>
  <rfmt sheetId="5" sqref="A29:A48">
    <dxf>
      <fill>
        <patternFill patternType="none">
          <bgColor auto="1"/>
        </patternFill>
      </fill>
    </dxf>
  </rfmt>
  <rfmt sheetId="5" sqref="A30:A31">
    <dxf>
      <fill>
        <patternFill patternType="solid">
          <bgColor rgb="FFFFFF00"/>
        </patternFill>
      </fill>
    </dxf>
  </rfmt>
  <rfmt sheetId="5" sqref="A42">
    <dxf>
      <fill>
        <patternFill patternType="solid">
          <bgColor rgb="FFFFFF00"/>
        </patternFill>
      </fill>
    </dxf>
  </rfmt>
  <rfmt sheetId="5" sqref="A45">
    <dxf>
      <fill>
        <patternFill patternType="solid">
          <bgColor rgb="FFFFFF00"/>
        </patternFill>
      </fill>
    </dxf>
  </rfmt>
  <rcc rId="4800" sId="5">
    <nc r="B31" t="inlineStr">
      <is>
        <t>HFY 237 L</t>
      </is>
    </nc>
  </rcc>
  <rcc rId="4801" sId="5">
    <oc r="B42">
      <f>'1-10'!R35</f>
    </oc>
    <nc r="B42" t="inlineStr">
      <is>
        <t>HFY 231 L</t>
      </is>
    </nc>
  </rcc>
  <rcc rId="4802" sId="5">
    <oc r="B45" t="inlineStr">
      <is>
        <t>FBY 146 L</t>
      </is>
    </oc>
    <nc r="B45" t="inlineStr">
      <is>
        <t>HFY 236 L</t>
      </is>
    </nc>
  </rcc>
  <rfmt sheetId="5" sqref="B42">
    <dxf>
      <fill>
        <patternFill>
          <bgColor rgb="FF92D050"/>
        </patternFill>
      </fill>
    </dxf>
  </rfmt>
  <rfmt sheetId="5" sqref="B45">
    <dxf>
      <fill>
        <patternFill>
          <bgColor rgb="FF92D050"/>
        </patternFill>
      </fill>
    </dxf>
  </rfmt>
</revisions>
</file>

<file path=xl/revisions/revisionLog27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5" sqref="A38:A39">
    <dxf>
      <fill>
        <patternFill patternType="solid">
          <bgColor rgb="FFFFFF00"/>
        </patternFill>
      </fill>
    </dxf>
  </rfmt>
  <rcc rId="4803" sId="5">
    <oc r="C30" t="inlineStr">
      <is>
        <t>629</t>
      </is>
    </oc>
    <nc r="C30"/>
  </rcc>
  <rcc rId="4804" sId="5">
    <oc r="C45" t="inlineStr">
      <is>
        <t>W/O</t>
      </is>
    </oc>
    <nc r="C45"/>
  </rcc>
  <rcc rId="4805" sId="5">
    <oc r="C42" t="inlineStr">
      <is>
        <t>634</t>
      </is>
    </oc>
    <nc r="C42"/>
  </rcc>
</revisions>
</file>

<file path=xl/revisions/revisionLog27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06" sId="4">
    <oc r="B70" t="inlineStr">
      <is>
        <t>FZL 973 L</t>
      </is>
    </oc>
    <nc r="B70" t="inlineStr">
      <is>
        <t>FMY 486 L</t>
      </is>
    </nc>
  </rcc>
  <rfmt sheetId="4" sqref="B70">
    <dxf>
      <fill>
        <patternFill>
          <bgColor rgb="FF92D050"/>
        </patternFill>
      </fill>
    </dxf>
  </rfmt>
  <rfmt sheetId="4" sqref="A70">
    <dxf>
      <fill>
        <patternFill>
          <bgColor rgb="FF00B0F0"/>
        </patternFill>
      </fill>
    </dxf>
  </rfmt>
  <rfmt sheetId="4" sqref="A75">
    <dxf>
      <fill>
        <patternFill>
          <bgColor rgb="FFFFFF00"/>
        </patternFill>
      </fill>
    </dxf>
  </rfmt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868" sId="5" numFmtId="34">
    <oc r="F7">
      <v>3000</v>
    </oc>
    <nc r="F7">
      <v>23400</v>
    </nc>
  </rcc>
  <rcc rId="2869" sId="5" numFmtId="34">
    <oc r="F13">
      <v>3000</v>
    </oc>
    <nc r="F13">
      <v>23400</v>
    </nc>
  </rcc>
  <rcc rId="2870" sId="5" numFmtId="34">
    <oc r="F14">
      <v>3000</v>
    </oc>
    <nc r="F14">
      <v>23400</v>
    </nc>
  </rcc>
  <rcc rId="2871" sId="5" numFmtId="34">
    <oc r="F15">
      <v>3000</v>
    </oc>
    <nc r="F15">
      <v>23400</v>
    </nc>
  </rcc>
  <rcc rId="2872" sId="5" numFmtId="34">
    <oc r="F16">
      <v>3000</v>
    </oc>
    <nc r="F16">
      <v>23400</v>
    </nc>
  </rcc>
  <rcc rId="2873" sId="5" numFmtId="34">
    <oc r="F17">
      <v>3000</v>
    </oc>
    <nc r="F17">
      <v>23400</v>
    </nc>
  </rcc>
  <rcc rId="2874" sId="5" numFmtId="34">
    <oc r="F18">
      <v>3000</v>
    </oc>
    <nc r="F18">
      <v>23400</v>
    </nc>
  </rcc>
  <rcc rId="2875" sId="5" numFmtId="34">
    <oc r="F19">
      <v>3000</v>
    </oc>
    <nc r="F19">
      <v>23400</v>
    </nc>
  </rcc>
  <rcc rId="2876" sId="5" numFmtId="34">
    <oc r="F20">
      <v>3000</v>
    </oc>
    <nc r="F20">
      <v>23400</v>
    </nc>
  </rcc>
  <rcc rId="2877" sId="5" numFmtId="34">
    <oc r="F21">
      <v>3000</v>
    </oc>
    <nc r="F21">
      <v>23400</v>
    </nc>
  </rcc>
  <rcc rId="2878" sId="5" numFmtId="34">
    <oc r="F22">
      <v>3000</v>
    </oc>
    <nc r="F22">
      <v>23400</v>
    </nc>
  </rcc>
  <rcc rId="2879" sId="5" numFmtId="34">
    <oc r="F31">
      <v>3000</v>
    </oc>
    <nc r="F31">
      <v>23400</v>
    </nc>
  </rcc>
  <rcc rId="2880" sId="5" odxf="1" dxf="1" numFmtId="34">
    <oc r="F32">
      <v>3000</v>
    </oc>
    <nc r="F32">
      <v>23400</v>
    </nc>
    <odxf>
      <font>
        <sz val="8"/>
        <color rgb="FFFF0000"/>
        <name val="Consolas"/>
        <family val="3"/>
      </font>
    </odxf>
    <ndxf>
      <font>
        <sz val="8"/>
        <color rgb="FFFF0000"/>
        <name val="Consolas"/>
        <family val="3"/>
      </font>
    </ndxf>
  </rcc>
  <rcc rId="2881" sId="5" numFmtId="34">
    <oc r="F39">
      <v>3000</v>
    </oc>
    <nc r="F39">
      <v>23400</v>
    </nc>
  </rcc>
  <rcc rId="2882" sId="5" numFmtId="34">
    <oc r="F40">
      <v>3000</v>
    </oc>
    <nc r="F40">
      <v>23400</v>
    </nc>
  </rcc>
  <rcc rId="2883" sId="5" numFmtId="34">
    <oc r="F47">
      <v>3000</v>
    </oc>
    <nc r="F47">
      <v>23400</v>
    </nc>
  </rcc>
  <rcc rId="2884" sId="5" numFmtId="34">
    <oc r="F66">
      <v>3000</v>
    </oc>
    <nc r="F66">
      <v>23400</v>
    </nc>
  </rcc>
  <rcc rId="2885" sId="5" numFmtId="34">
    <oc r="F67">
      <v>3000</v>
    </oc>
    <nc r="F67">
      <v>23400</v>
    </nc>
  </rcc>
  <rcc rId="2886" sId="5" numFmtId="34">
    <oc r="F73">
      <v>3000</v>
    </oc>
    <nc r="F73">
      <v>23400</v>
    </nc>
  </rcc>
  <rcc rId="2887" sId="5" numFmtId="34">
    <oc r="F74">
      <v>3000</v>
    </oc>
    <nc r="F74">
      <v>23400</v>
    </nc>
  </rcc>
  <rcc rId="2888" sId="5" numFmtId="34">
    <oc r="F80">
      <v>3000</v>
    </oc>
    <nc r="F80">
      <v>23400</v>
    </nc>
  </rcc>
</revisions>
</file>

<file path=xl/revisions/revisionLog28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4807" sId="4" ref="A75:XFD75" action="insertRow"/>
  <rfmt sheetId="4" sqref="A75">
    <dxf>
      <fill>
        <patternFill>
          <bgColor rgb="FF00B0F0"/>
        </patternFill>
      </fill>
    </dxf>
  </rfmt>
  <rcc rId="4808" sId="4">
    <nc r="A75" t="inlineStr">
      <is>
        <t>Isuzu Fin 850 7t Compactort</t>
      </is>
    </nc>
  </rcc>
  <rcc rId="4809" sId="4">
    <nc r="B75" t="inlineStr">
      <is>
        <t>HFF209L</t>
      </is>
    </nc>
  </rcc>
</revisions>
</file>

<file path=xl/revisions/revisionLog28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10" sId="4">
    <nc r="E75">
      <f>+D75/P75*(CALC!$A$4)</f>
    </nc>
  </rcc>
  <rcc rId="4811" sId="4" numFmtId="34">
    <nc r="F75">
      <v>23400</v>
    </nc>
  </rcc>
</revisions>
</file>

<file path=xl/revisions/revisionLog28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6" sqref="B57">
    <dxf>
      <fill>
        <patternFill>
          <bgColor rgb="FF92D050"/>
        </patternFill>
      </fill>
    </dxf>
  </rfmt>
  <rfmt sheetId="6" sqref="B53:B54">
    <dxf>
      <fill>
        <patternFill>
          <bgColor rgb="FF92D050"/>
        </patternFill>
      </fill>
    </dxf>
  </rfmt>
  <rfmt sheetId="6" sqref="B62">
    <dxf>
      <fill>
        <patternFill>
          <bgColor rgb="FF92D050"/>
        </patternFill>
      </fill>
    </dxf>
  </rfmt>
  <rfmt sheetId="6" sqref="B63">
    <dxf>
      <fill>
        <patternFill>
          <bgColor rgb="FF92D050"/>
        </patternFill>
      </fill>
    </dxf>
  </rfmt>
</revisions>
</file>

<file path=xl/revisions/revisionLog28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12" sId="4" numFmtId="34">
    <nc r="P75">
      <v>3.57</v>
    </nc>
  </rcc>
</revisions>
</file>

<file path=xl/revisions/revisionLog28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13" sId="6" numFmtId="34">
    <nc r="E164">
      <v>18432812.452761479</v>
    </nc>
  </rcc>
  <rcc rId="4814" sId="6">
    <nc r="F164">
      <v>2787720</v>
    </nc>
  </rcc>
  <rcc rId="4815" sId="6">
    <nc r="G164">
      <v>729374.68415424845</v>
    </nc>
  </rcc>
  <rcc rId="4816" sId="6">
    <nc r="H164">
      <v>8281356</v>
    </nc>
  </rcc>
  <rcc rId="4817" sId="6">
    <nc r="I164">
      <v>4472257.9412500001</v>
    </nc>
  </rcc>
  <rcc rId="4818" sId="6">
    <nc r="J164">
      <v>6000000</v>
    </nc>
  </rcc>
  <rcc rId="4819" sId="6">
    <nc r="K164">
      <v>601005.58000000007</v>
    </nc>
  </rcc>
  <rcc rId="4820" sId="6">
    <nc r="L164">
      <v>0</v>
    </nc>
  </rcc>
  <rcc rId="4821" sId="6">
    <nc r="M164">
      <v>41304526.658165723</v>
    </nc>
  </rcc>
  <rcc rId="4822" sId="6">
    <nc r="N164">
      <v>723639.24208447104</v>
    </nc>
  </rcc>
  <rcc rId="4823" sId="6">
    <nc r="O164">
      <v>42028165.900250196</v>
    </nc>
  </rcc>
  <rcc rId="4824" sId="4">
    <nc r="K75">
      <f>16680*(1+CALC!B$13)</f>
    </nc>
  </rcc>
  <rcc rId="4825" sId="4">
    <nc r="H75">
      <f>60000*(1+CALC!B$14)</f>
    </nc>
  </rcc>
  <rcc rId="4826" sId="4" numFmtId="4">
    <nc r="D75">
      <v>35000</v>
    </nc>
  </rcc>
  <rfmt sheetId="4" sqref="E75:P75">
    <dxf>
      <fill>
        <patternFill>
          <bgColor rgb="FF00B0F0"/>
        </patternFill>
      </fill>
    </dxf>
  </rfmt>
  <rcc rId="4827" sId="4" odxf="1" dxf="1">
    <nc r="M75">
      <f>SUM(E75:L75)</f>
    </nc>
    <odxf>
      <fill>
        <patternFill>
          <bgColor rgb="FF00B0F0"/>
        </patternFill>
      </fill>
    </odxf>
    <ndxf>
      <fill>
        <patternFill>
          <bgColor theme="6"/>
        </patternFill>
      </fill>
    </ndxf>
  </rcc>
  <rcc rId="4828" sId="4" odxf="1" dxf="1">
    <nc r="N75">
      <f>M75/CALC!$A$8*CALC!$A$6</f>
    </nc>
    <odxf>
      <fill>
        <patternFill>
          <bgColor rgb="FF00B0F0"/>
        </patternFill>
      </fill>
    </odxf>
    <ndxf>
      <fill>
        <patternFill>
          <bgColor theme="6"/>
        </patternFill>
      </fill>
    </ndxf>
  </rcc>
  <rcc rId="4829" sId="4" odxf="1" dxf="1">
    <nc r="O75">
      <f>+M75+N75</f>
    </nc>
    <odxf>
      <fill>
        <patternFill>
          <bgColor rgb="FF00B0F0"/>
        </patternFill>
      </fill>
    </odxf>
    <ndxf>
      <fill>
        <patternFill>
          <bgColor theme="6"/>
        </patternFill>
      </fill>
    </ndxf>
  </rcc>
  <rfmt sheetId="4" sqref="M75:O75">
    <dxf>
      <fill>
        <patternFill>
          <bgColor rgb="FF00B0F0"/>
        </patternFill>
      </fill>
    </dxf>
  </rfmt>
</revisions>
</file>

<file path=xl/revisions/revisionLog28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30" sId="5" numFmtId="4">
    <oc r="D30">
      <v>0</v>
    </oc>
    <nc r="D30">
      <v>25000</v>
    </nc>
  </rcc>
  <rcc rId="4831" sId="5" numFmtId="4">
    <nc r="D31">
      <v>25000</v>
    </nc>
  </rcc>
  <rcc rId="4832" sId="5" numFmtId="4">
    <oc r="D42">
      <v>0</v>
    </oc>
    <nc r="D42">
      <v>25000</v>
    </nc>
  </rcc>
  <rcc rId="4833" sId="5" numFmtId="4">
    <oc r="D45">
      <v>0</v>
    </oc>
    <nc r="D45">
      <v>25000</v>
    </nc>
  </rcc>
  <rfmt sheetId="5" sqref="C45:O45">
    <dxf>
      <fill>
        <patternFill patternType="solid">
          <bgColor rgb="FF00B0F0"/>
        </patternFill>
      </fill>
    </dxf>
  </rfmt>
  <rfmt sheetId="5" sqref="C42:O42">
    <dxf>
      <fill>
        <patternFill>
          <bgColor rgb="FF00B0F0"/>
        </patternFill>
      </fill>
    </dxf>
  </rfmt>
  <rfmt sheetId="5" sqref="C30:O31">
    <dxf>
      <fill>
        <patternFill>
          <bgColor rgb="FF00B0F0"/>
        </patternFill>
      </fill>
    </dxf>
  </rfmt>
  <rcc rId="4834" sId="5" numFmtId="34">
    <nc r="P31">
      <v>9.09</v>
    </nc>
  </rcc>
  <rcc rId="4835" sId="5">
    <nc r="E31">
      <f>+D31/P31*(CALC!$A$4)</f>
    </nc>
  </rcc>
  <rcc rId="4836" sId="5" numFmtId="34">
    <oc r="H30">
      <v>0</v>
    </oc>
    <nc r="H30">
      <v>25000</v>
    </nc>
  </rcc>
  <rcc rId="4837" sId="5" numFmtId="34">
    <nc r="H31">
      <v>25000</v>
    </nc>
  </rcc>
  <rcc rId="4838" sId="5" numFmtId="34">
    <oc r="H42">
      <v>0</v>
    </oc>
    <nc r="H42">
      <v>25000</v>
    </nc>
  </rcc>
  <rcc rId="4839" sId="5" numFmtId="34">
    <oc r="H45">
      <v>0</v>
    </oc>
    <nc r="H45">
      <v>25000</v>
    </nc>
  </rcc>
  <rcc rId="4840" sId="5" odxf="1" dxf="1" numFmtId="34">
    <oc r="K30">
      <v>0</v>
    </oc>
    <nc r="K30">
      <f>678*(1+CALC!B$13)</f>
    </nc>
    <odxf>
      <font>
        <sz val="8"/>
        <name val="Consolas"/>
        <family val="3"/>
      </font>
      <fill>
        <patternFill>
          <bgColor rgb="FF00B0F0"/>
        </patternFill>
      </fill>
    </odxf>
    <ndxf>
      <font>
        <sz val="8"/>
        <color rgb="FFFF0000"/>
        <name val="Consolas"/>
        <family val="3"/>
      </font>
      <fill>
        <patternFill>
          <bgColor rgb="FF7030A0"/>
        </patternFill>
      </fill>
    </ndxf>
  </rcc>
  <rcc rId="4841" sId="5" odxf="1" dxf="1">
    <nc r="K31">
      <f>678*(1+CALC!B$13)</f>
    </nc>
    <odxf>
      <font>
        <sz val="8"/>
        <name val="Consolas"/>
        <family val="3"/>
      </font>
      <fill>
        <patternFill>
          <bgColor rgb="FF00B0F0"/>
        </patternFill>
      </fill>
    </odxf>
    <ndxf>
      <font>
        <sz val="8"/>
        <color rgb="FFFF0000"/>
        <name val="Consolas"/>
        <family val="3"/>
      </font>
      <fill>
        <patternFill>
          <bgColor rgb="FF7030A0"/>
        </patternFill>
      </fill>
    </ndxf>
  </rcc>
  <rcc rId="4842" sId="5" odxf="1" dxf="1" numFmtId="34">
    <oc r="K42">
      <v>0</v>
    </oc>
    <nc r="K42">
      <f>678*(1+CALC!B$13)</f>
    </nc>
    <odxf>
      <fill>
        <patternFill>
          <bgColor rgb="FF00B0F0"/>
        </patternFill>
      </fill>
    </odxf>
    <ndxf>
      <fill>
        <patternFill>
          <bgColor rgb="FF7030A0"/>
        </patternFill>
      </fill>
    </ndxf>
  </rcc>
  <rcc rId="4843" sId="5" odxf="1" dxf="1" numFmtId="34">
    <oc r="K45">
      <v>0</v>
    </oc>
    <nc r="K45">
      <f>678*(1+CALC!B$13)</f>
    </nc>
    <odxf>
      <font>
        <sz val="8"/>
        <name val="Consolas"/>
        <family val="3"/>
      </font>
      <fill>
        <patternFill>
          <bgColor rgb="FF00B0F0"/>
        </patternFill>
      </fill>
    </odxf>
    <ndxf>
      <font>
        <sz val="8"/>
        <color rgb="FFFF0000"/>
        <name val="Consolas"/>
        <family val="3"/>
      </font>
      <fill>
        <patternFill>
          <bgColor rgb="FF7030A0"/>
        </patternFill>
      </fill>
    </ndxf>
  </rcc>
</revisions>
</file>

<file path=xl/revisions/revisionLog28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44" sId="5" odxf="1" dxf="1" numFmtId="34">
    <oc r="F42">
      <v>0</v>
    </oc>
    <nc r="F42">
      <v>23400</v>
    </nc>
    <odxf>
      <fill>
        <patternFill patternType="solid">
          <bgColor rgb="FF00B0F0"/>
        </patternFill>
      </fill>
    </odxf>
    <ndxf>
      <fill>
        <patternFill patternType="none">
          <bgColor indexed="65"/>
        </patternFill>
      </fill>
    </ndxf>
  </rcc>
  <rcc rId="4845" sId="5" odxf="1" dxf="1" numFmtId="34">
    <oc r="F45">
      <v>0</v>
    </oc>
    <nc r="F45">
      <v>23400</v>
    </nc>
    <odxf>
      <fill>
        <patternFill>
          <bgColor rgb="FF00B0F0"/>
        </patternFill>
      </fill>
    </odxf>
    <ndxf>
      <fill>
        <patternFill>
          <bgColor rgb="FF92D050"/>
        </patternFill>
      </fill>
    </ndxf>
  </rcc>
  <rcc rId="4846" sId="5" odxf="1" dxf="1" numFmtId="34">
    <oc r="F30">
      <v>0</v>
    </oc>
    <nc r="F30">
      <v>23400</v>
    </nc>
    <odxf>
      <font>
        <sz val="8"/>
        <name val="Consolas"/>
        <family val="3"/>
      </font>
      <fill>
        <patternFill patternType="solid">
          <bgColor rgb="FF00B0F0"/>
        </patternFill>
      </fill>
    </odxf>
    <ndxf>
      <font>
        <sz val="8"/>
        <color rgb="FFFF0000"/>
        <name val="Consolas"/>
        <family val="3"/>
      </font>
      <fill>
        <patternFill patternType="none">
          <bgColor indexed="65"/>
        </patternFill>
      </fill>
    </ndxf>
  </rcc>
  <rcc rId="4847" sId="5" odxf="1" dxf="1" numFmtId="34">
    <nc r="F31">
      <v>23400</v>
    </nc>
    <odxf>
      <font>
        <sz val="8"/>
        <name val="Consolas"/>
        <family val="3"/>
      </font>
      <fill>
        <patternFill patternType="solid">
          <bgColor rgb="FF00B0F0"/>
        </patternFill>
      </fill>
    </odxf>
    <ndxf>
      <font>
        <sz val="8"/>
        <color rgb="FFFF0000"/>
        <name val="Consolas"/>
        <family val="3"/>
      </font>
      <fill>
        <patternFill patternType="none">
          <bgColor indexed="65"/>
        </patternFill>
      </fill>
    </ndxf>
  </rcc>
  <rfmt sheetId="5" sqref="F42">
    <dxf>
      <fill>
        <patternFill patternType="solid">
          <bgColor rgb="FF00B0F0"/>
        </patternFill>
      </fill>
    </dxf>
  </rfmt>
  <rfmt sheetId="5" sqref="F45">
    <dxf>
      <fill>
        <patternFill>
          <bgColor rgb="FF00B0F0"/>
        </patternFill>
      </fill>
    </dxf>
  </rfmt>
  <rfmt sheetId="5" sqref="F30:F31">
    <dxf>
      <fill>
        <patternFill patternType="solid">
          <bgColor rgb="FF00B0F0"/>
        </patternFill>
      </fill>
    </dxf>
  </rfmt>
</revisions>
</file>

<file path=xl/revisions/revisionLog28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48" sId="6" odxf="1" dxf="1">
    <nc r="E165">
      <f>E148-E164</f>
    </nc>
    <odxf>
      <numFmt numFmtId="0" formatCode="General"/>
    </odxf>
    <ndxf>
      <numFmt numFmtId="35" formatCode="_-* #,##0.00_-;\-* #,##0.00_-;_-* &quot;-&quot;??_-;_-@_-"/>
    </ndxf>
  </rcc>
  <rcc rId="4849" sId="6" odxf="1" dxf="1">
    <nc r="F165">
      <f>F148-F164</f>
    </nc>
    <odxf>
      <numFmt numFmtId="0" formatCode="General"/>
    </odxf>
    <ndxf>
      <numFmt numFmtId="35" formatCode="_-* #,##0.00_-;\-* #,##0.00_-;_-* &quot;-&quot;??_-;_-@_-"/>
    </ndxf>
  </rcc>
  <rcc rId="4850" sId="6" odxf="1" dxf="1">
    <nc r="G165">
      <f>G148-G164</f>
    </nc>
    <odxf>
      <numFmt numFmtId="0" formatCode="General"/>
    </odxf>
    <ndxf>
      <numFmt numFmtId="35" formatCode="_-* #,##0.00_-;\-* #,##0.00_-;_-* &quot;-&quot;??_-;_-@_-"/>
    </ndxf>
  </rcc>
  <rcc rId="4851" sId="6" odxf="1" dxf="1">
    <nc r="H165">
      <f>H148-H164</f>
    </nc>
    <odxf>
      <numFmt numFmtId="0" formatCode="General"/>
    </odxf>
    <ndxf>
      <numFmt numFmtId="35" formatCode="_-* #,##0.00_-;\-* #,##0.00_-;_-* &quot;-&quot;??_-;_-@_-"/>
    </ndxf>
  </rcc>
  <rcc rId="4852" sId="6" odxf="1" dxf="1">
    <nc r="I165">
      <f>I148-I164</f>
    </nc>
    <odxf>
      <numFmt numFmtId="0" formatCode="General"/>
    </odxf>
    <ndxf>
      <numFmt numFmtId="35" formatCode="_-* #,##0.00_-;\-* #,##0.00_-;_-* &quot;-&quot;??_-;_-@_-"/>
    </ndxf>
  </rcc>
  <rcc rId="4853" sId="6" odxf="1" dxf="1">
    <nc r="J165">
      <f>J148-J164</f>
    </nc>
    <odxf>
      <numFmt numFmtId="0" formatCode="General"/>
    </odxf>
    <ndxf>
      <numFmt numFmtId="35" formatCode="_-* #,##0.00_-;\-* #,##0.00_-;_-* &quot;-&quot;??_-;_-@_-"/>
    </ndxf>
  </rcc>
  <rcc rId="4854" sId="6" odxf="1" dxf="1">
    <nc r="K165">
      <f>K148-K164</f>
    </nc>
    <odxf>
      <numFmt numFmtId="0" formatCode="General"/>
    </odxf>
    <ndxf>
      <numFmt numFmtId="35" formatCode="_-* #,##0.00_-;\-* #,##0.00_-;_-* &quot;-&quot;??_-;_-@_-"/>
    </ndxf>
  </rcc>
  <rcc rId="4855" sId="6" odxf="1" dxf="1">
    <nc r="L165">
      <f>L148-L164</f>
    </nc>
    <odxf>
      <numFmt numFmtId="0" formatCode="General"/>
    </odxf>
    <ndxf>
      <numFmt numFmtId="35" formatCode="_-* #,##0.00_-;\-* #,##0.00_-;_-* &quot;-&quot;??_-;_-@_-"/>
    </ndxf>
  </rcc>
  <rcc rId="4856" sId="6" odxf="1" dxf="1">
    <nc r="M165">
      <f>M148-M164</f>
    </nc>
    <odxf>
      <numFmt numFmtId="0" formatCode="General"/>
    </odxf>
    <ndxf>
      <numFmt numFmtId="35" formatCode="_-* #,##0.00_-;\-* #,##0.00_-;_-* &quot;-&quot;??_-;_-@_-"/>
    </ndxf>
  </rcc>
  <rcc rId="4857" sId="6" odxf="1" dxf="1">
    <nc r="N165">
      <f>N148-N164</f>
    </nc>
    <odxf>
      <numFmt numFmtId="0" formatCode="General"/>
    </odxf>
    <ndxf>
      <numFmt numFmtId="35" formatCode="_-* #,##0.00_-;\-* #,##0.00_-;_-* &quot;-&quot;??_-;_-@_-"/>
    </ndxf>
  </rcc>
  <rcc rId="4858" sId="6" odxf="1" dxf="1">
    <nc r="O165">
      <f>O148-O164</f>
    </nc>
    <odxf>
      <numFmt numFmtId="0" formatCode="General"/>
    </odxf>
    <ndxf>
      <numFmt numFmtId="35" formatCode="_-* #,##0.00_-;\-* #,##0.00_-;_-* &quot;-&quot;??_-;_-@_-"/>
    </ndxf>
  </rcc>
</revisions>
</file>

<file path=xl/revisions/revisionLog28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59" sId="9" numFmtId="34">
    <oc r="A4">
      <v>24</v>
    </oc>
    <nc r="A4">
      <v>23.5</v>
    </nc>
  </rcc>
  <rcc rId="4860" sId="9" numFmtId="14">
    <oc r="B14">
      <v>0.15</v>
    </oc>
    <nc r="B14">
      <v>0.08</v>
    </nc>
  </rcc>
  <rcc rId="4861" sId="5" numFmtId="34">
    <oc r="E106">
      <f>SUM(E104:E105)</f>
    </oc>
    <nc r="E106">
      <v>0</v>
    </nc>
  </rcc>
  <rcc rId="4862" sId="5" numFmtId="34">
    <oc r="H104">
      <f>140000</f>
    </oc>
    <nc r="H104">
      <v>202630</v>
    </nc>
  </rcc>
</revisions>
</file>

<file path=xl/revisions/revisionLog28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63" sId="4" odxf="1" dxf="1">
    <nc r="A114">
      <f>+'1-10'!C155</f>
    </nc>
    <odxf>
      <fill>
        <patternFill patternType="none">
          <bgColor indexed="65"/>
        </patternFill>
      </fill>
      <border outline="0">
        <left/>
        <right/>
        <top/>
        <bottom/>
      </border>
    </odxf>
    <ndxf>
      <fill>
        <patternFill patternType="solid">
          <bgColor rgb="FFFFFF00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64" sId="4" odxf="1" dxf="1">
    <nc r="B114">
      <f>+'1-10'!R155</f>
    </nc>
    <odxf>
      <fill>
        <patternFill patternType="none">
          <bgColor indexed="65"/>
        </patternFill>
      </fill>
      <border outline="0">
        <left/>
        <right/>
        <top/>
        <bottom/>
      </border>
    </odxf>
    <ndxf>
      <fill>
        <patternFill patternType="solid">
          <bgColor rgb="FF92D050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65" sId="4" odxf="1" dxf="1">
    <nc r="C114">
      <v>653</v>
    </nc>
    <odxf>
      <fill>
        <patternFill patternType="none">
          <bgColor indexed="65"/>
        </patternFill>
      </fill>
      <border outline="0">
        <left/>
        <right/>
        <top/>
        <bottom/>
      </border>
    </odxf>
    <ndxf>
      <fill>
        <patternFill patternType="solid">
          <bgColor rgb="FFFFFF00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66" sId="4" odxf="1" dxf="1" numFmtId="4">
    <nc r="D114">
      <v>20000</v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67" sId="4" odxf="1" s="1" dxf="1">
    <nc r="E114">
      <f>+D114/P114*(CALC!$A$4)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onsolas"/>
        <family val="3"/>
        <scheme val="none"/>
      </font>
      <numFmt numFmtId="0" formatCode="General"/>
    </odxf>
    <ndxf>
      <numFmt numFmtId="164" formatCode="_(* #,##0.00_);_(* \(#,##0.00\);_(* &quot;-&quot;??_);_(@_)"/>
      <fill>
        <patternFill patternType="solid">
          <bgColor rgb="FF00B0F0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68" sId="4" odxf="1" s="1" dxf="1" numFmtId="34">
    <nc r="F114">
      <v>23400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onsolas"/>
        <family val="3"/>
        <scheme val="none"/>
      </font>
      <numFmt numFmtId="0" formatCode="General"/>
    </odxf>
    <ndxf>
      <numFmt numFmtId="164" formatCode="_(* #,##0.00_);_(* \(#,##0.00\);_(* &quot;-&quot;??_);_(@_)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69" sId="4" odxf="1" s="1" dxf="1">
    <nc r="G114">
      <f>CALC!$A$23*(I114/CEM!I$148)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onsolas"/>
        <family val="3"/>
        <scheme val="none"/>
      </font>
      <numFmt numFmtId="0" formatCode="General"/>
    </odxf>
    <ndxf>
      <numFmt numFmtId="164" formatCode="_(* #,##0.00_);_(* \(#,##0.00\);_(* &quot;-&quot;??_);_(@_)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70" sId="4" odxf="1" s="1" dxf="1">
    <nc r="H114">
      <f>35000*(1+CALC!B115)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onsolas"/>
        <family val="3"/>
        <scheme val="none"/>
      </font>
      <numFmt numFmtId="0" formatCode="General"/>
    </odxf>
    <ndxf>
      <numFmt numFmtId="164" formatCode="_(* #,##0.00_);_(* \(#,##0.00\);_(* &quot;-&quot;??_);_(@_)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71" sId="4" odxf="1" s="1" dxf="1">
    <nc r="I114">
      <f>21849.33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onsolas"/>
        <family val="3"/>
        <scheme val="none"/>
      </font>
      <numFmt numFmtId="0" formatCode="General"/>
    </odxf>
    <ndxf>
      <numFmt numFmtId="164" formatCode="_(* #,##0.00_);_(* \(#,##0.00\);_(* &quot;-&quot;??_);_(@_)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="1" sqref="J114" start="0" length="0">
    <dxf>
      <numFmt numFmtId="164" formatCode="_(* #,##0.00_);_(* \(#,##0.00\);_(* &quot;-&quot;??_);_(@_)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872" sId="4" odxf="1" s="1" dxf="1">
    <nc r="K114">
      <f>1110*(1+CALC!B$13)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onsolas"/>
        <family val="3"/>
        <scheme val="none"/>
      </font>
      <numFmt numFmtId="0" formatCode="General"/>
    </odxf>
    <ndxf>
      <numFmt numFmtId="164" formatCode="_(* #,##0.00_);_(* \(#,##0.00\);_(* &quot;-&quot;??_);_(@_)"/>
      <fill>
        <patternFill patternType="solid">
          <bgColor theme="0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="1" sqref="L114" start="0" length="0">
    <dxf>
      <numFmt numFmtId="164" formatCode="_(* #,##0.00_);_(* \(#,##0.00\);_(* &quot;-&quot;??_);_(@_)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873" sId="4" odxf="1" s="1" dxf="1">
    <nc r="M114">
      <f>SUM(E114:L114)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onsolas"/>
        <family val="3"/>
        <scheme val="none"/>
      </font>
      <numFmt numFmtId="0" formatCode="General"/>
    </odxf>
    <ndxf>
      <numFmt numFmtId="164" formatCode="_(* #,##0.00_);_(* \(#,##0.00\);_(* &quot;-&quot;??_);_(@_)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74" sId="4" odxf="1" s="1" dxf="1">
    <nc r="N114">
      <f>M114/CALC!$A$8*CALC!$A$6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onsolas"/>
        <family val="3"/>
        <scheme val="none"/>
      </font>
      <numFmt numFmtId="0" formatCode="General"/>
    </odxf>
    <ndxf>
      <numFmt numFmtId="164" formatCode="_(* #,##0.00_);_(* \(#,##0.00\);_(* &quot;-&quot;??_);_(@_)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75" sId="4" odxf="1" s="1" dxf="1">
    <nc r="O114">
      <f>+M114+N114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onsolas"/>
        <family val="3"/>
        <scheme val="none"/>
      </font>
      <numFmt numFmtId="0" formatCode="General"/>
    </odxf>
    <ndxf>
      <numFmt numFmtId="164" formatCode="_(* #,##0.00_);_(* \(#,##0.00\);_(* &quot;-&quot;??_);_(@_)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76" sId="4" odxf="1" dxf="1" numFmtId="34">
    <nc r="P114">
      <v>7</v>
    </nc>
    <odxf>
      <border outline="0">
        <left/>
        <top/>
        <bottom/>
      </border>
    </odxf>
    <n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ndxf>
  </rcc>
  <rfmt sheetId="4" sqref="Q114" start="0" length="0">
    <dxf/>
  </rfmt>
  <rcc rId="4877" sId="4" odxf="1" dxf="1">
    <nc r="A115">
      <f>+'1-10'!C118</f>
    </nc>
    <odxf>
      <font>
        <sz val="8"/>
        <name val="Consolas"/>
        <family val="3"/>
      </font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sz val="7"/>
        <name val="Consolas"/>
        <family val="3"/>
      </font>
      <fill>
        <patternFill patternType="solid">
          <bgColor rgb="FF92D050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78" sId="4" odxf="1" dxf="1">
    <nc r="B115">
      <f>+'1-10'!R118</f>
    </nc>
    <odxf>
      <fill>
        <patternFill patternType="none">
          <bgColor indexed="65"/>
        </patternFill>
      </fill>
      <border outline="0">
        <left/>
        <right/>
        <top/>
        <bottom/>
      </border>
    </odxf>
    <ndxf>
      <fill>
        <patternFill patternType="solid">
          <bgColor rgb="FF92D050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79" sId="4" odxf="1" dxf="1">
    <nc r="C115">
      <v>611</v>
    </nc>
    <odxf>
      <fill>
        <patternFill patternType="none">
          <bgColor indexed="65"/>
        </patternFill>
      </fill>
      <border outline="0">
        <left/>
        <right/>
        <top/>
        <bottom/>
      </border>
    </odxf>
    <ndxf>
      <fill>
        <patternFill patternType="solid">
          <bgColor rgb="FF92D050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80" sId="4" odxf="1" dxf="1" numFmtId="4">
    <nc r="D115">
      <v>5000</v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81" sId="4" odxf="1" s="1" dxf="1">
    <nc r="E115">
      <f>+D115/P115*(CALC!$A$4)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onsolas"/>
        <family val="3"/>
        <scheme val="none"/>
      </font>
      <numFmt numFmtId="0" formatCode="General"/>
    </odxf>
    <ndxf>
      <numFmt numFmtId="164" formatCode="_(* #,##0.00_);_(* \(#,##0.00\);_(* &quot;-&quot;??_);_(@_)"/>
      <fill>
        <patternFill patternType="solid">
          <bgColor theme="0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82" sId="4" odxf="1" s="1" dxf="1" numFmtId="34">
    <nc r="F115">
      <v>23400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onsolas"/>
        <family val="3"/>
        <scheme val="none"/>
      </font>
      <numFmt numFmtId="0" formatCode="General"/>
    </odxf>
    <ndxf>
      <numFmt numFmtId="164" formatCode="_(* #,##0.00_);_(* \(#,##0.00\);_(* &quot;-&quot;??_);_(@_)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83" sId="4" odxf="1" s="1" dxf="1">
    <nc r="G115">
      <f>CALC!$A$23*(I115/CEM!I$148)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onsolas"/>
        <family val="3"/>
        <scheme val="none"/>
      </font>
      <numFmt numFmtId="0" formatCode="General"/>
    </odxf>
    <ndxf>
      <numFmt numFmtId="164" formatCode="_(* #,##0.00_);_(* \(#,##0.00\);_(* &quot;-&quot;??_);_(@_)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84" sId="4" odxf="1" s="1" dxf="1">
    <nc r="H115">
      <f>35000*(1+CALC!B120)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onsolas"/>
        <family val="3"/>
        <scheme val="none"/>
      </font>
      <numFmt numFmtId="0" formatCode="General"/>
    </odxf>
    <ndxf>
      <numFmt numFmtId="164" formatCode="_(* #,##0.00_);_(* \(#,##0.00\);_(* &quot;-&quot;??_);_(@_)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85" sId="4" odxf="1" s="1" dxf="1" numFmtId="34">
    <nc r="I115">
      <v>15393.84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onsolas"/>
        <family val="3"/>
        <scheme val="none"/>
      </font>
      <numFmt numFmtId="0" formatCode="General"/>
    </odxf>
    <ndxf>
      <numFmt numFmtId="164" formatCode="_(* #,##0.00_);_(* \(#,##0.00\);_(* &quot;-&quot;??_);_(@_)"/>
      <fill>
        <patternFill patternType="solid">
          <bgColor theme="0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="1" sqref="J115" start="0" length="0">
    <dxf>
      <numFmt numFmtId="164" formatCode="_(* #,##0.00_);_(* \(#,##0.00\);_(* &quot;-&quot;??_);_(@_)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886" sId="4" odxf="1" s="1" dxf="1">
    <nc r="K115">
      <f>678*(1+CALC!B$13)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onsolas"/>
        <family val="3"/>
        <scheme val="none"/>
      </font>
      <numFmt numFmtId="0" formatCode="General"/>
    </odxf>
    <ndxf>
      <numFmt numFmtId="164" formatCode="_(* #,##0.00_);_(* \(#,##0.00\);_(* &quot;-&quot;??_);_(@_)"/>
      <fill>
        <patternFill patternType="solid">
          <bgColor rgb="FF7030A0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="1" sqref="L115" start="0" length="0">
    <dxf>
      <numFmt numFmtId="164" formatCode="_(* #,##0.00_);_(* \(#,##0.00\);_(* &quot;-&quot;??_);_(@_)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887" sId="4" odxf="1" s="1" dxf="1">
    <nc r="M115">
      <f>SUM(E115:L115)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onsolas"/>
        <family val="3"/>
        <scheme val="none"/>
      </font>
      <numFmt numFmtId="0" formatCode="General"/>
    </odxf>
    <ndxf>
      <numFmt numFmtId="164" formatCode="_(* #,##0.00_);_(* \(#,##0.00\);_(* &quot;-&quot;??_);_(@_)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88" sId="4" odxf="1" s="1" dxf="1">
    <nc r="N115">
      <f>M115/CALC!$A$8*CALC!$A$6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onsolas"/>
        <family val="3"/>
        <scheme val="none"/>
      </font>
      <numFmt numFmtId="0" formatCode="General"/>
    </odxf>
    <ndxf>
      <font>
        <b/>
        <sz val="8"/>
        <color auto="1"/>
        <name val="Consolas"/>
        <family val="3"/>
        <scheme val="none"/>
      </font>
      <numFmt numFmtId="164" formatCode="_(* #,##0.00_);_(* \(#,##0.00\);_(* &quot;-&quot;??_);_(@_)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89" sId="4" odxf="1" s="1" dxf="1">
    <nc r="O115">
      <f>+M115+N115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onsolas"/>
        <family val="3"/>
        <scheme val="none"/>
      </font>
      <numFmt numFmtId="0" formatCode="General"/>
    </odxf>
    <ndxf>
      <numFmt numFmtId="164" formatCode="_(* #,##0.00_);_(* \(#,##0.00\);_(* &quot;-&quot;??_);_(@_)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90" sId="4" odxf="1" dxf="1" numFmtId="34">
    <nc r="P115">
      <v>6.67</v>
    </nc>
    <odxf>
      <border outline="0">
        <left/>
        <top/>
        <bottom/>
      </border>
    </odxf>
    <n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ndxf>
  </rcc>
  <rfmt sheetId="4" sqref="Q115" start="0" length="0">
    <dxf/>
  </rfmt>
  <rcc rId="4891" sId="4" numFmtId="4">
    <oc r="D13">
      <v>20000</v>
    </oc>
    <nc r="D13">
      <v>0</v>
    </nc>
  </rcc>
  <rcc rId="4892" sId="4" numFmtId="34">
    <oc r="F13">
      <v>23400</v>
    </oc>
    <nc r="F13"/>
  </rcc>
  <rcc rId="4893" sId="4">
    <oc r="G13">
      <f>CALC!$A$23*(I13/CEM!I$148)</f>
    </oc>
    <nc r="G13"/>
  </rcc>
  <rcc rId="4894" sId="4">
    <oc r="H13">
      <f>35000*(1+CALC!B14)</f>
    </oc>
    <nc r="H13"/>
  </rcc>
  <rcc rId="4895" sId="4">
    <oc r="I13">
      <f>21849.33</f>
    </oc>
    <nc r="I13"/>
  </rcc>
  <rcc rId="4896" sId="4">
    <oc r="K13">
      <f>1110*(1+CALC!B$13)</f>
    </oc>
    <nc r="K13"/>
  </rcc>
  <rcc rId="4897" sId="3" numFmtId="4">
    <oc r="D9">
      <v>5000</v>
    </oc>
    <nc r="D9">
      <v>0</v>
    </nc>
  </rcc>
  <rcc rId="4898" sId="3" numFmtId="34">
    <oc r="F9">
      <v>23400</v>
    </oc>
    <nc r="F9"/>
  </rcc>
  <rcc rId="4899" sId="3">
    <oc r="G9">
      <f>CALC!$A$23*(I9/CEM!I$148)</f>
    </oc>
    <nc r="G9"/>
  </rcc>
  <rcc rId="4900" sId="3">
    <oc r="H9">
      <f>35000*(1+CALC!B14)</f>
    </oc>
    <nc r="H9"/>
  </rcc>
  <rcc rId="4901" sId="3" numFmtId="34">
    <oc r="I9">
      <v>15393.84</v>
    </oc>
    <nc r="I9"/>
  </rcc>
  <rcc rId="4902" sId="3">
    <oc r="K9">
      <f>678*(1+CALC!B$13)</f>
    </oc>
    <nc r="K9"/>
  </rcc>
  <rcv guid="{DF69299D-7752-4436-A45D-28F739CEE21B}" action="delete"/>
  <rdn rId="0" localSheetId="1" customView="1" name="Z_DF69299D_7752_4436_A45D_28F739CEE21B_.wvu.PrintArea" hidden="1" oldHidden="1">
    <formula>mayor!$A$1:$Q$42</formula>
    <oldFormula>mayor!$A$1:$Q$42</oldFormula>
  </rdn>
  <rdn rId="0" localSheetId="1" customView="1" name="Z_DF69299D_7752_4436_A45D_28F739CEE21B_.wvu.Cols" hidden="1" oldHidden="1">
    <formula>mayor!$P:$P</formula>
    <oldFormula>mayor!$P:$P</oldFormula>
  </rdn>
  <rdn rId="0" localSheetId="1" customView="1" name="Z_DF69299D_7752_4436_A45D_28F739CEE21B_.wvu.FilterData" hidden="1" oldHidden="1">
    <formula>mayor!$A$16:$C$16</formula>
    <oldFormula>mayor!$A$16:$C$16</oldFormula>
  </rdn>
  <rdn rId="0" localSheetId="2" customView="1" name="Z_DF69299D_7752_4436_A45D_28F739CEE21B_.wvu.PrintArea" hidden="1" oldHidden="1">
    <formula>income!$A$1:$Q$16</formula>
    <oldFormula>income!$A$1:$Q$16</oldFormula>
  </rdn>
  <rdn rId="0" localSheetId="2" customView="1" name="Z_DF69299D_7752_4436_A45D_28F739CEE21B_.wvu.Cols" hidden="1" oldHidden="1">
    <formula>income!$P:$P</formula>
    <oldFormula>income!$P:$P</oldFormula>
  </rdn>
  <rdn rId="0" localSheetId="3" customView="1" name="Z_DF69299D_7752_4436_A45D_28F739CEE21B_.wvu.PrintArea" hidden="1" oldHidden="1">
    <formula>workshop!$A$1:$Q$20</formula>
    <oldFormula>workshop!$A$1:$Q$20</oldFormula>
  </rdn>
  <rdn rId="0" localSheetId="3" customView="1" name="Z_DF69299D_7752_4436_A45D_28F739CEE21B_.wvu.Cols" hidden="1" oldHidden="1">
    <formula>workshop!$J:$J,workshop!$P:$P</formula>
    <oldFormula>workshop!$J:$J,workshop!$P:$P</oldFormula>
  </rdn>
  <rdn rId="0" localSheetId="4" customView="1" name="Z_DF69299D_7752_4436_A45D_28F739CEE21B_.wvu.PrintArea" hidden="1" oldHidden="1">
    <formula>'COMMUNITY SERV'!$A$1:$Q$106</formula>
    <oldFormula>'COMMUNITY SERV'!$A$1:$Q$106</oldFormula>
  </rdn>
  <rdn rId="0" localSheetId="5" customView="1" name="Z_DF69299D_7752_4436_A45D_28F739CEE21B_.wvu.PrintArea" hidden="1" oldHidden="1">
    <formula>EEM!$A$1:$Q$108</formula>
    <oldFormula>EEM!$A$1:$Q$108</oldFormula>
  </rdn>
  <rdn rId="0" localSheetId="6" customView="1" name="Z_DF69299D_7752_4436_A45D_28F739CEE21B_.wvu.PrintArea" hidden="1" oldHidden="1">
    <formula>CEM!$A$1:$Q$148</formula>
    <oldFormula>CEM!$A$1:$Q$148</oldFormula>
  </rdn>
  <rdn rId="0" localSheetId="6" customView="1" name="Z_DF69299D_7752_4436_A45D_28F739CEE21B_.wvu.Rows" hidden="1" oldHidden="1">
    <formula>CEM!$143:$143</formula>
    <oldFormula>CEM!$143:$143</oldFormula>
  </rdn>
  <rdn rId="0" localSheetId="6" customView="1" name="Z_DF69299D_7752_4436_A45D_28F739CEE21B_.wvu.Cols" hidden="1" oldHidden="1">
    <formula>CEM!$P:$P</formula>
    <oldFormula>CEM!$P:$P</oldFormula>
  </rdn>
  <rdn rId="0" localSheetId="7" customView="1" name="Z_DF69299D_7752_4436_A45D_28F739CEE21B_.wvu.PrintArea" hidden="1" oldHidden="1">
    <formula>MDC!$A$1:$Q$99</formula>
    <oldFormula>MDC!$A$1:$Q$99</oldFormula>
  </rdn>
  <rdn rId="0" localSheetId="7" customView="1" name="Z_DF69299D_7752_4436_A45D_28F739CEE21B_.wvu.Rows" hidden="1" oldHidden="1">
    <formula>MDC!$67:$73</formula>
    <oldFormula>MDC!$67:$73</oldFormula>
  </rdn>
  <rdn rId="0" localSheetId="7" customView="1" name="Z_DF69299D_7752_4436_A45D_28F739CEE21B_.wvu.Cols" hidden="1" oldHidden="1">
    <formula>MDC!$J:$J,MDC!$P:$P</formula>
    <oldFormula>MDC!$J:$J,MDC!$P:$P</oldFormula>
  </rdn>
  <rdn rId="0" localSheetId="8" customView="1" name="Z_DF69299D_7752_4436_A45D_28F739CEE21B_.wvu.PrintArea" hidden="1" oldHidden="1">
    <formula>BUDGET!$A$1:$B$76</formula>
    <oldFormula>BUDGET!$A$1:$B$76</oldFormula>
  </rdn>
  <rdn rId="0" localSheetId="8" customView="1" name="Z_DF69299D_7752_4436_A45D_28F739CEE21B_.wvu.Rows" hidden="1" oldHidden="1">
    <formula>BUDGET!$3:$7,BUDGET!$9:$9,BUDGET!$11:$11,BUDGET!$13:$16,BUDGET!$18:$21,BUDGET!$23:$23,BUDGET!$25:$28,BUDGET!$30:$36,BUDGET!$38:$38,BUDGET!$40:$40,BUDGET!$42:$47,BUDGET!$49:$49,BUDGET!$51:$54,BUDGET!$56:$59,BUDGET!$61:$66,BUDGET!$68:$68,BUDGET!$70:$70</formula>
    <oldFormula>BUDGET!$3:$7,BUDGET!$9:$9,BUDGET!$11:$11,BUDGET!$13:$16,BUDGET!$18:$21,BUDGET!$23:$23,BUDGET!$25:$28,BUDGET!$30:$36,BUDGET!$38:$38,BUDGET!$40:$40,BUDGET!$42:$47,BUDGET!$49:$49,BUDGET!$51:$54,BUDGET!$56:$59,BUDGET!$61:$66,BUDGET!$68:$68,BUDGET!$70:$70</oldFormula>
  </rdn>
  <rdn rId="0" localSheetId="8" customView="1" name="Z_DF69299D_7752_4436_A45D_28F739CEE21B_.wvu.Cols" hidden="1" oldHidden="1">
    <formula>BUDGET!$C:$S</formula>
    <oldFormula>BUDGET!$C:$S</oldFormula>
  </rdn>
  <rdn rId="0" localSheetId="10" customView="1" name="Z_DF69299D_7752_4436_A45D_28F739CEE21B_.wvu.FilterData" hidden="1" oldHidden="1">
    <formula>orig!$A$1:$AN$198</formula>
    <oldFormula>orig!$A$1:$AN$198</oldFormula>
  </rdn>
  <rdn rId="0" localSheetId="11" customView="1" name="Z_DF69299D_7752_4436_A45D_28F739CEE21B_.wvu.Cols" hidden="1" oldHidden="1">
    <formula>'1-10'!$B:$B</formula>
    <oldFormula>'1-10'!$B:$B</oldFormula>
  </rdn>
  <rdn rId="0" localSheetId="11" customView="1" name="Z_DF69299D_7752_4436_A45D_28F739CEE21B_.wvu.FilterData" hidden="1" oldHidden="1">
    <formula>'1-10'!$A$1:$AY$100</formula>
    <oldFormula>'1-10'!$A$1:$AY$100</oldFormula>
  </rdn>
  <rdn rId="0" localSheetId="12" customView="1" name="Z_DF69299D_7752_4436_A45D_28F739CEE21B_.wvu.Rows" hidden="1" oldHidden="1">
    <formula>'new veh 2012'!$96:$97</formula>
    <oldFormula>'new veh 2012'!$96:$97</oldFormula>
  </rdn>
  <rdn rId="0" localSheetId="12" customView="1" name="Z_DF69299D_7752_4436_A45D_28F739CEE21B_.wvu.FilterData" hidden="1" oldHidden="1">
    <formula>'new veh 2012'!$A$1:$J$95</formula>
    <oldFormula>'new veh 2012'!$A$1:$J$95</oldFormula>
  </rdn>
  <rdn rId="0" localSheetId="14" customView="1" name="Z_DF69299D_7752_4436_A45D_28F739CEE21B_.wvu.FilterData" hidden="1" oldHidden="1">
    <formula>stbk!$A$1:$G$199</formula>
    <oldFormula>stbk!$A$1:$G$199</oldFormula>
  </rdn>
  <rcv guid="{DF69299D-7752-4436-A45D-28F739CEE21B}" action="add"/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889" sId="5" numFmtId="34">
    <oc r="F16">
      <v>23400</v>
    </oc>
    <nc r="F16">
      <v>3000</v>
    </nc>
  </rcc>
</revisions>
</file>

<file path=xl/revisions/revisionLog29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4" sqref="A116" start="0" length="0">
    <dxf>
      <numFmt numFmtId="168" formatCode="#,##0;[Red]#,##0"/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4" s="1" sqref="B116" start="0" length="0">
    <dxf>
      <numFmt numFmtId="164" formatCode="_(* #,##0.00_);_(* \(#,##0.00\);_(* &quot;-&quot;??_);_(@_)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4" s="1" sqref="C116" start="0" length="0">
    <dxf>
      <numFmt numFmtId="164" formatCode="_(* #,##0.00_);_(* \(#,##0.00\);_(* &quot;-&quot;??_);_(@_)"/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4" s="1" sqref="D116" start="0" length="0">
    <dxf>
      <numFmt numFmtId="164" formatCode="_(* #,##0.00_);_(* \(#,##0.00\);_(* &quot;-&quot;??_);_(@_)"/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4" s="1" sqref="E116" start="0" length="0">
    <dxf>
      <numFmt numFmtId="164" formatCode="_(* #,##0.00_);_(* \(#,##0.00\);_(* &quot;-&quot;??_);_(@_)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4" s="1" sqref="F116" start="0" length="0">
    <dxf>
      <numFmt numFmtId="164" formatCode="_(* #,##0.00_);_(* \(#,##0.00\);_(* &quot;-&quot;??_);_(@_)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4" s="1" sqref="G116" start="0" length="0">
    <dxf>
      <numFmt numFmtId="164" formatCode="_(* #,##0.00_);_(* \(#,##0.00\);_(* &quot;-&quot;??_);_(@_)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4" s="1" sqref="H116" start="0" length="0">
    <dxf>
      <font>
        <sz val="8"/>
        <color rgb="FFFF0000"/>
        <name val="Consolas"/>
        <family val="3"/>
        <scheme val="none"/>
      </font>
      <numFmt numFmtId="164" formatCode="_(* #,##0.00_);_(* \(#,##0.00\);_(* &quot;-&quot;??_);_(@_)"/>
      <fill>
        <patternFill patternType="solid">
          <bgColor rgb="FF7030A0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4" s="1" sqref="I116" start="0" length="0">
    <dxf>
      <numFmt numFmtId="164" formatCode="_(* #,##0.00_);_(* \(#,##0.00\);_(* &quot;-&quot;??_);_(@_)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4" sqref="A116" start="0" length="0">
    <dxf>
      <numFmt numFmtId="0" formatCode="General"/>
      <alignment horizontal="left"/>
    </dxf>
  </rfmt>
  <rfmt sheetId="4" s="1" sqref="B116" start="0" length="0">
    <dxf>
      <numFmt numFmtId="0" formatCode="General"/>
      <fill>
        <patternFill patternType="solid">
          <bgColor rgb="FF92D050"/>
        </patternFill>
      </fill>
      <alignment horizontal="left"/>
    </dxf>
  </rfmt>
  <rfmt sheetId="4" s="1" sqref="C116" start="0" length="0">
    <dxf>
      <font>
        <sz val="8"/>
        <color theme="1"/>
        <name val="Consolas"/>
        <family val="3"/>
        <scheme val="none"/>
      </font>
      <numFmt numFmtId="30" formatCode="@"/>
      <fill>
        <patternFill patternType="solid">
          <bgColor rgb="FFFFFF00"/>
        </patternFill>
      </fill>
    </dxf>
  </rfmt>
  <rfmt sheetId="4" s="1" sqref="D116" start="0" length="0">
    <dxf>
      <numFmt numFmtId="168" formatCode="#,##0;[Red]#,##0"/>
      <alignment horizontal="center"/>
    </dxf>
  </rfmt>
  <rfmt sheetId="4" sqref="E116" start="0" length="0">
    <dxf/>
  </rfmt>
  <rfmt sheetId="4" sqref="H116" start="0" length="0">
    <dxf>
      <font>
        <sz val="8"/>
        <color rgb="FFFF0000"/>
        <name val="Consolas"/>
        <family val="3"/>
      </font>
      <fill>
        <patternFill patternType="none">
          <bgColor indexed="65"/>
        </patternFill>
      </fill>
    </dxf>
  </rfmt>
  <rfmt sheetId="4" s="1" sqref="J116" start="0" length="0">
    <dxf>
      <numFmt numFmtId="164" formatCode="_(* #,##0.00_);_(* \(#,##0.00\);_(* &quot;-&quot;??_);_(@_)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4" s="1" sqref="K116" start="0" length="0">
    <dxf>
      <font>
        <sz val="8"/>
        <color rgb="FFFF0000"/>
        <name val="Consolas"/>
        <family val="3"/>
        <scheme val="none"/>
      </font>
      <numFmt numFmtId="164" formatCode="_(* #,##0.00_);_(* \(#,##0.00\);_(* &quot;-&quot;??_);_(@_)"/>
      <fill>
        <patternFill patternType="solid">
          <bgColor rgb="FF7030A0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4" s="1" sqref="L116" start="0" length="0">
    <dxf>
      <numFmt numFmtId="164" formatCode="_(* #,##0.00_);_(* \(#,##0.00\);_(* &quot;-&quot;??_);_(@_)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4" s="1" sqref="M116" start="0" length="0">
    <dxf>
      <numFmt numFmtId="164" formatCode="_(* #,##0.00_);_(* \(#,##0.00\);_(* &quot;-&quot;??_);_(@_)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927" sId="4">
    <nc r="A116">
      <f>+'1-10'!C115</f>
    </nc>
  </rcc>
  <rcc rId="4928" sId="4">
    <nc r="B116">
      <f>+'1-10'!R115</f>
    </nc>
  </rcc>
  <rcc rId="4929" sId="4">
    <nc r="C116" t="inlineStr">
      <is>
        <t>638</t>
      </is>
    </nc>
  </rcc>
  <rcc rId="4930" sId="4" numFmtId="4">
    <nc r="D116">
      <v>20000</v>
    </nc>
  </rcc>
  <rcc rId="4931" sId="4">
    <nc r="E116">
      <f>+D116/P116*(CALC!$A$4)</f>
    </nc>
  </rcc>
  <rcc rId="4932" sId="4" numFmtId="34">
    <nc r="F116">
      <v>23400</v>
    </nc>
  </rcc>
  <rcc rId="4933" sId="4">
    <nc r="G116">
      <f>CALC!$A$23*(I116/CEM!I$148)</f>
    </nc>
  </rcc>
  <rcc rId="4934" sId="4">
    <nc r="H116">
      <f>58000*(1+CALC!B$14)</f>
    </nc>
  </rcc>
  <rcc rId="4935" sId="4" numFmtId="34">
    <nc r="I116">
      <v>23903.279999999999</v>
    </nc>
  </rcc>
  <rcc rId="4936" sId="4">
    <nc r="K116">
      <f>678*(1+CALC!B$13)</f>
    </nc>
  </rcc>
  <rcc rId="4937" sId="4">
    <nc r="M116">
      <f>SUM(E116:L116)</f>
    </nc>
  </rcc>
  <rcc rId="4938" sId="4" odxf="1" s="1" dxf="1">
    <nc r="N116">
      <f>M116/CALC!$A$8*CALC!$A$6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onsolas"/>
        <family val="3"/>
        <scheme val="none"/>
      </font>
      <numFmt numFmtId="0" formatCode="General"/>
    </odxf>
    <ndxf>
      <numFmt numFmtId="164" formatCode="_(* #,##0.00_);_(* \(#,##0.00\);_(* &quot;-&quot;??_);_(@_)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39" sId="4" odxf="1" s="1" dxf="1">
    <nc r="O116">
      <f>+M116+N116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onsolas"/>
        <family val="3"/>
        <scheme val="none"/>
      </font>
      <numFmt numFmtId="0" formatCode="General"/>
    </odxf>
    <ndxf>
      <numFmt numFmtId="164" formatCode="_(* #,##0.00_);_(* \(#,##0.00\);_(* &quot;-&quot;??_);_(@_)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40" sId="4" odxf="1" dxf="1" numFmtId="34">
    <nc r="P116">
      <v>9.09</v>
    </nc>
    <odxf>
      <border outline="0">
        <left/>
        <top/>
        <bottom/>
      </border>
    </odxf>
    <n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ndxf>
  </rcc>
  <rfmt sheetId="4" sqref="Q116" start="0" length="0">
    <dxf/>
  </rfmt>
  <rcc rId="4941" sId="5" numFmtId="4">
    <oc r="D40">
      <v>20000</v>
    </oc>
    <nc r="D40">
      <v>0</v>
    </nc>
  </rcc>
  <rcc rId="4942" sId="5" numFmtId="34">
    <oc r="F40">
      <v>23400</v>
    </oc>
    <nc r="F40"/>
  </rcc>
  <rcc rId="4943" sId="5">
    <oc r="G40">
      <f>CALC!$A$23*(I40/CEM!I$148)</f>
    </oc>
    <nc r="G40"/>
  </rcc>
  <rcc rId="4944" sId="5">
    <oc r="H40">
      <f>58000*(1+CALC!B$14)</f>
    </oc>
    <nc r="H40"/>
  </rcc>
  <rcc rId="4945" sId="5" numFmtId="34">
    <oc r="I40">
      <v>23903.279999999999</v>
    </oc>
    <nc r="I40"/>
  </rcc>
  <rcc rId="4946" sId="5">
    <oc r="K40">
      <f>678*(1+CALC!B$13)</f>
    </oc>
    <nc r="K40"/>
  </rcc>
</revisions>
</file>

<file path=xl/revisions/revisionLog29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47" sId="4" odxf="1" dxf="1">
    <nc r="E117">
      <f>SUM(E114:E116)</f>
    </nc>
    <odxf>
      <numFmt numFmtId="0" formatCode="General"/>
    </odxf>
    <ndxf>
      <numFmt numFmtId="164" formatCode="_(* #,##0.00_);_(* \(#,##0.00\);_(* &quot;-&quot;??_);_(@_)"/>
    </ndxf>
  </rcc>
  <rcc rId="4948" sId="4" odxf="1" dxf="1">
    <nc r="F117">
      <f>SUM(F114:F116)</f>
    </nc>
    <odxf>
      <numFmt numFmtId="0" formatCode="General"/>
    </odxf>
    <ndxf>
      <numFmt numFmtId="164" formatCode="_(* #,##0.00_);_(* \(#,##0.00\);_(* &quot;-&quot;??_);_(@_)"/>
    </ndxf>
  </rcc>
  <rcc rId="4949" sId="4" odxf="1" dxf="1">
    <nc r="G117">
      <f>SUM(G114:G116)</f>
    </nc>
    <odxf>
      <numFmt numFmtId="0" formatCode="General"/>
    </odxf>
    <ndxf>
      <numFmt numFmtId="164" formatCode="_(* #,##0.00_);_(* \(#,##0.00\);_(* &quot;-&quot;??_);_(@_)"/>
    </ndxf>
  </rcc>
  <rcc rId="4950" sId="4" odxf="1" dxf="1">
    <nc r="H117">
      <f>SUM(H114:H116)</f>
    </nc>
    <odxf>
      <numFmt numFmtId="0" formatCode="General"/>
    </odxf>
    <ndxf>
      <numFmt numFmtId="164" formatCode="_(* #,##0.00_);_(* \(#,##0.00\);_(* &quot;-&quot;??_);_(@_)"/>
    </ndxf>
  </rcc>
  <rcc rId="4951" sId="4" odxf="1" dxf="1">
    <nc r="I117">
      <f>SUM(I114:I116)</f>
    </nc>
    <odxf>
      <numFmt numFmtId="0" formatCode="General"/>
    </odxf>
    <ndxf>
      <numFmt numFmtId="164" formatCode="_(* #,##0.00_);_(* \(#,##0.00\);_(* &quot;-&quot;??_);_(@_)"/>
    </ndxf>
  </rcc>
  <rcc rId="4952" sId="4" odxf="1" dxf="1">
    <nc r="J117">
      <f>SUM(J114:J116)</f>
    </nc>
    <odxf>
      <numFmt numFmtId="0" formatCode="General"/>
    </odxf>
    <ndxf>
      <numFmt numFmtId="164" formatCode="_(* #,##0.00_);_(* \(#,##0.00\);_(* &quot;-&quot;??_);_(@_)"/>
    </ndxf>
  </rcc>
  <rcc rId="4953" sId="4" odxf="1" dxf="1">
    <nc r="K117">
      <f>SUM(K114:K116)</f>
    </nc>
    <odxf>
      <numFmt numFmtId="0" formatCode="General"/>
    </odxf>
    <ndxf>
      <numFmt numFmtId="164" formatCode="_(* #,##0.00_);_(* \(#,##0.00\);_(* &quot;-&quot;??_);_(@_)"/>
    </ndxf>
  </rcc>
  <rcc rId="4954" sId="4" odxf="1" dxf="1">
    <nc r="L117">
      <f>SUM(L114:L116)</f>
    </nc>
    <odxf>
      <numFmt numFmtId="0" formatCode="General"/>
    </odxf>
    <ndxf>
      <numFmt numFmtId="164" formatCode="_(* #,##0.00_);_(* \(#,##0.00\);_(* &quot;-&quot;??_);_(@_)"/>
    </ndxf>
  </rcc>
  <rcc rId="4955" sId="4" odxf="1" dxf="1">
    <nc r="M117">
      <f>SUM(M114:M116)</f>
    </nc>
    <odxf>
      <numFmt numFmtId="0" formatCode="General"/>
    </odxf>
    <ndxf>
      <numFmt numFmtId="164" formatCode="_(* #,##0.00_);_(* \(#,##0.00\);_(* &quot;-&quot;??_);_(@_)"/>
    </ndxf>
  </rcc>
  <rcc rId="4956" sId="5" numFmtId="34">
    <nc r="E104">
      <v>136464.21956395684</v>
    </nc>
  </rcc>
  <rcc rId="4957" sId="5" numFmtId="34">
    <nc r="F104">
      <v>70200</v>
    </nc>
  </rcc>
  <rcc rId="4958" sId="5" numFmtId="34">
    <nc r="G104">
      <v>9146.7842317144696</v>
    </nc>
  </rcc>
  <rcc rId="4959" sId="5" numFmtId="34">
    <oc r="H104">
      <v>202630</v>
    </oc>
    <nc r="H104">
      <v>132640</v>
    </nc>
  </rcc>
  <rcc rId="4960" sId="5" numFmtId="34">
    <nc r="I104">
      <v>61146.45</v>
    </nc>
  </rcc>
  <rcc rId="4961" sId="5" numFmtId="34">
    <oc r="K104">
      <f>25000*(1+CALC!B$13)</f>
    </oc>
    <nc r="K104">
      <v>31000</v>
    </nc>
  </rcc>
</revisions>
</file>

<file path=xl/revisions/revisionLog29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60788006_5C2B_4CAF_8D5B_3FA82F99F0BB_.wvu.PrintArea" hidden="1" oldHidden="1">
    <formula>mayor!$A$1:$Q$42</formula>
  </rdn>
  <rdn rId="0" localSheetId="1" customView="1" name="Z_60788006_5C2B_4CAF_8D5B_3FA82F99F0BB_.wvu.Cols" hidden="1" oldHidden="1">
    <formula>mayor!$P:$P</formula>
  </rdn>
  <rdn rId="0" localSheetId="1" customView="1" name="Z_60788006_5C2B_4CAF_8D5B_3FA82F99F0BB_.wvu.FilterData" hidden="1" oldHidden="1">
    <formula>mayor!$A$16:$C$16</formula>
  </rdn>
  <rdn rId="0" localSheetId="2" customView="1" name="Z_60788006_5C2B_4CAF_8D5B_3FA82F99F0BB_.wvu.PrintArea" hidden="1" oldHidden="1">
    <formula>income!$A$1:$Q$16</formula>
  </rdn>
  <rdn rId="0" localSheetId="2" customView="1" name="Z_60788006_5C2B_4CAF_8D5B_3FA82F99F0BB_.wvu.Cols" hidden="1" oldHidden="1">
    <formula>income!$P:$P</formula>
  </rdn>
  <rdn rId="0" localSheetId="3" customView="1" name="Z_60788006_5C2B_4CAF_8D5B_3FA82F99F0BB_.wvu.PrintArea" hidden="1" oldHidden="1">
    <formula>workshop!$A$1:$Q$20</formula>
  </rdn>
  <rdn rId="0" localSheetId="3" customView="1" name="Z_60788006_5C2B_4CAF_8D5B_3FA82F99F0BB_.wvu.Cols" hidden="1" oldHidden="1">
    <formula>workshop!$J:$J,workshop!$P:$P</formula>
  </rdn>
  <rdn rId="0" localSheetId="4" customView="1" name="Z_60788006_5C2B_4CAF_8D5B_3FA82F99F0BB_.wvu.PrintArea" hidden="1" oldHidden="1">
    <formula>'COMMUNITY SERV'!$A$1:$Q$106</formula>
  </rdn>
  <rdn rId="0" localSheetId="5" customView="1" name="Z_60788006_5C2B_4CAF_8D5B_3FA82F99F0BB_.wvu.PrintArea" hidden="1" oldHidden="1">
    <formula>EEM!$A$1:$Q$108</formula>
  </rdn>
  <rdn rId="0" localSheetId="6" customView="1" name="Z_60788006_5C2B_4CAF_8D5B_3FA82F99F0BB_.wvu.PrintArea" hidden="1" oldHidden="1">
    <formula>CEM!$A$1:$Q$148</formula>
  </rdn>
  <rdn rId="0" localSheetId="6" customView="1" name="Z_60788006_5C2B_4CAF_8D5B_3FA82F99F0BB_.wvu.Rows" hidden="1" oldHidden="1">
    <formula>CEM!$143:$143</formula>
  </rdn>
  <rdn rId="0" localSheetId="6" customView="1" name="Z_60788006_5C2B_4CAF_8D5B_3FA82F99F0BB_.wvu.Cols" hidden="1" oldHidden="1">
    <formula>CEM!$P:$P</formula>
  </rdn>
  <rdn rId="0" localSheetId="7" customView="1" name="Z_60788006_5C2B_4CAF_8D5B_3FA82F99F0BB_.wvu.PrintArea" hidden="1" oldHidden="1">
    <formula>MDC!$A$1:$Q$99</formula>
  </rdn>
  <rdn rId="0" localSheetId="7" customView="1" name="Z_60788006_5C2B_4CAF_8D5B_3FA82F99F0BB_.wvu.Rows" hidden="1" oldHidden="1">
    <formula>MDC!$67:$73</formula>
  </rdn>
  <rdn rId="0" localSheetId="7" customView="1" name="Z_60788006_5C2B_4CAF_8D5B_3FA82F99F0BB_.wvu.Cols" hidden="1" oldHidden="1">
    <formula>MDC!$J:$J,MDC!$P:$P</formula>
  </rdn>
  <rdn rId="0" localSheetId="8" customView="1" name="Z_60788006_5C2B_4CAF_8D5B_3FA82F99F0BB_.wvu.PrintArea" hidden="1" oldHidden="1">
    <formula>BUDGET!$A$1:$B$76</formula>
  </rdn>
  <rdn rId="0" localSheetId="8" customView="1" name="Z_60788006_5C2B_4CAF_8D5B_3FA82F99F0BB_.wvu.Rows" hidden="1" oldHidden="1">
    <formula>BUDGET!$3:$7,BUDGET!$9:$9,BUDGET!$11:$11,BUDGET!$13:$16,BUDGET!$18:$21,BUDGET!$23:$23,BUDGET!$25:$28,BUDGET!$30:$36,BUDGET!$38:$38,BUDGET!$40:$40,BUDGET!$42:$47,BUDGET!$49:$49,BUDGET!$51:$54,BUDGET!$56:$59,BUDGET!$61:$66,BUDGET!$68:$68,BUDGET!$70:$70</formula>
  </rdn>
  <rdn rId="0" localSheetId="8" customView="1" name="Z_60788006_5C2B_4CAF_8D5B_3FA82F99F0BB_.wvu.Cols" hidden="1" oldHidden="1">
    <formula>BUDGET!$C:$S</formula>
  </rdn>
  <rdn rId="0" localSheetId="10" customView="1" name="Z_60788006_5C2B_4CAF_8D5B_3FA82F99F0BB_.wvu.FilterData" hidden="1" oldHidden="1">
    <formula>orig!$A$1:$AN$198</formula>
  </rdn>
  <rdn rId="0" localSheetId="11" customView="1" name="Z_60788006_5C2B_4CAF_8D5B_3FA82F99F0BB_.wvu.Cols" hidden="1" oldHidden="1">
    <formula>'1-10'!$B:$B</formula>
  </rdn>
  <rdn rId="0" localSheetId="11" customView="1" name="Z_60788006_5C2B_4CAF_8D5B_3FA82F99F0BB_.wvu.FilterData" hidden="1" oldHidden="1">
    <formula>'1-10'!$A$1:$AY$100</formula>
  </rdn>
  <rdn rId="0" localSheetId="12" customView="1" name="Z_60788006_5C2B_4CAF_8D5B_3FA82F99F0BB_.wvu.Rows" hidden="1" oldHidden="1">
    <formula>'new veh 2012'!$96:$97</formula>
  </rdn>
  <rdn rId="0" localSheetId="12" customView="1" name="Z_60788006_5C2B_4CAF_8D5B_3FA82F99F0BB_.wvu.FilterData" hidden="1" oldHidden="1">
    <formula>'new veh 2012'!$A$1:$J$95</formula>
  </rdn>
  <rdn rId="0" localSheetId="14" customView="1" name="Z_60788006_5C2B_4CAF_8D5B_3FA82F99F0BB_.wvu.FilterData" hidden="1" oldHidden="1">
    <formula>stbk!$A$1:$G$199</formula>
  </rdn>
  <rcv guid="{60788006-5C2B-4CAF-8D5B-3FA82F99F0BB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4" sqref="A96:C96">
    <dxf>
      <fill>
        <patternFill patternType="solid">
          <bgColor rgb="FFFFFF00"/>
        </patternFill>
      </fill>
    </dxf>
  </rfmt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890" sId="6" numFmtId="34">
    <oc r="F7">
      <v>3000</v>
    </oc>
    <nc r="F7">
      <v>23400</v>
    </nc>
  </rcc>
  <rcc rId="2891" sId="6" numFmtId="34">
    <oc r="F8">
      <v>3000</v>
    </oc>
    <nc r="F8">
      <v>23400</v>
    </nc>
  </rcc>
  <rcc rId="2892" sId="6" numFmtId="34">
    <oc r="F13">
      <v>3000</v>
    </oc>
    <nc r="F13">
      <v>23400</v>
    </nc>
  </rcc>
  <rcc rId="2893" sId="6" numFmtId="34">
    <oc r="F14">
      <v>3000</v>
    </oc>
    <nc r="F14">
      <v>23400</v>
    </nc>
  </rcc>
  <rcc rId="2894" sId="6" numFmtId="34">
    <oc r="F15">
      <v>3000</v>
    </oc>
    <nc r="F15">
      <v>23400</v>
    </nc>
  </rcc>
  <rcc rId="2895" sId="6" numFmtId="34">
    <oc r="F20">
      <v>3000</v>
    </oc>
    <nc r="F20">
      <v>23400</v>
    </nc>
  </rcc>
  <rcc rId="2896" sId="6" numFmtId="34">
    <oc r="F21">
      <v>3000</v>
    </oc>
    <nc r="F21">
      <v>23400</v>
    </nc>
  </rcc>
  <rcc rId="2897" sId="6" numFmtId="34">
    <oc r="F22">
      <v>3000</v>
    </oc>
    <nc r="F22">
      <v>23400</v>
    </nc>
  </rcc>
  <rcc rId="2898" sId="6" numFmtId="34">
    <oc r="F27">
      <v>3000</v>
    </oc>
    <nc r="F27">
      <v>23400</v>
    </nc>
  </rcc>
  <rcc rId="2899" sId="6" numFmtId="34">
    <oc r="F28">
      <v>3000</v>
    </oc>
    <nc r="F28">
      <v>23400</v>
    </nc>
  </rcc>
  <rcc rId="2900" sId="6" numFmtId="34">
    <oc r="F29">
      <v>3000</v>
    </oc>
    <nc r="F29">
      <v>23400</v>
    </nc>
  </rcc>
  <rcc rId="2901" sId="6" numFmtId="34">
    <oc r="F30">
      <v>3000</v>
    </oc>
    <nc r="F30">
      <v>23400</v>
    </nc>
  </rcc>
  <rcc rId="2902" sId="6" numFmtId="34">
    <oc r="F35">
      <v>3000</v>
    </oc>
    <nc r="F35">
      <v>23400</v>
    </nc>
  </rcc>
  <rcc rId="2903" sId="6" numFmtId="34">
    <oc r="F40">
      <v>3000</v>
    </oc>
    <nc r="F40">
      <v>23400</v>
    </nc>
  </rcc>
  <rcc rId="2904" sId="6" numFmtId="34">
    <oc r="F46">
      <v>3000</v>
    </oc>
    <nc r="F46">
      <v>23400</v>
    </nc>
  </rcc>
  <rcc rId="2905" sId="6" numFmtId="34">
    <oc r="F47">
      <v>3000</v>
    </oc>
    <nc r="F47">
      <v>23400</v>
    </nc>
  </rcc>
  <rcc rId="2906" sId="6" numFmtId="34">
    <oc r="F53">
      <v>3000</v>
    </oc>
    <nc r="F53">
      <v>23400</v>
    </nc>
  </rcc>
  <rcc rId="2907" sId="6" numFmtId="34">
    <oc r="F54">
      <v>3000</v>
    </oc>
    <nc r="F54">
      <v>23400</v>
    </nc>
  </rcc>
  <rcc rId="2908" sId="6" numFmtId="34">
    <oc r="F59">
      <v>3000</v>
    </oc>
    <nc r="F59">
      <v>23400</v>
    </nc>
  </rcc>
  <rcc rId="2909" sId="6" numFmtId="34">
    <oc r="F60">
      <v>3000</v>
    </oc>
    <nc r="F60">
      <v>23400</v>
    </nc>
  </rcc>
  <rcc rId="2910" sId="6" numFmtId="34">
    <oc r="F65">
      <v>3000</v>
    </oc>
    <nc r="F65">
      <v>23400</v>
    </nc>
  </rcc>
  <rcc rId="2911" sId="6" numFmtId="34">
    <oc r="F66">
      <v>3000</v>
    </oc>
    <nc r="F66">
      <v>23400</v>
    </nc>
  </rcc>
  <rcc rId="2912" sId="6" numFmtId="34">
    <oc r="F71">
      <v>3000</v>
    </oc>
    <nc r="F71">
      <v>23400</v>
    </nc>
  </rcc>
  <rcc rId="2913" sId="6" numFmtId="34">
    <oc r="F72">
      <v>3000</v>
    </oc>
    <nc r="F72">
      <v>23400</v>
    </nc>
  </rcc>
  <rcc rId="2914" sId="6" numFmtId="34">
    <oc r="F77">
      <v>3000</v>
    </oc>
    <nc r="F77">
      <v>23400</v>
    </nc>
  </rcc>
  <rcc rId="2915" sId="6" numFmtId="34">
    <oc r="F78">
      <v>3000</v>
    </oc>
    <nc r="F78">
      <v>23400</v>
    </nc>
  </rcc>
  <rcc rId="2916" sId="6" numFmtId="34">
    <oc r="F80">
      <v>3000</v>
    </oc>
    <nc r="F80">
      <v>23400</v>
    </nc>
  </rcc>
  <rcc rId="2917" sId="7" numFmtId="34">
    <oc r="F77">
      <v>3000</v>
    </oc>
    <nc r="F77">
      <v>23400</v>
    </nc>
  </rcc>
  <rcc rId="2918" sId="7" numFmtId="34">
    <oc r="F83">
      <v>3000</v>
    </oc>
    <nc r="F83">
      <v>23400</v>
    </nc>
  </rcc>
  <rcc rId="2919" sId="7" numFmtId="34">
    <oc r="F44">
      <v>3000</v>
    </oc>
    <nc r="F44">
      <v>23400</v>
    </nc>
  </rcc>
  <rcc rId="2920" sId="7" numFmtId="34">
    <oc r="F39">
      <v>3000</v>
    </oc>
    <nc r="F39">
      <v>23400</v>
    </nc>
  </rcc>
  <rcc rId="2921" sId="7" numFmtId="34">
    <oc r="F34">
      <v>3000</v>
    </oc>
    <nc r="F34">
      <v>23400</v>
    </nc>
  </rcc>
  <rcc rId="2922" sId="7" numFmtId="34">
    <oc r="F29">
      <v>3000</v>
    </oc>
    <nc r="F29">
      <v>23400</v>
    </nc>
  </rcc>
  <rcc rId="2923" sId="7" numFmtId="34">
    <oc r="F22">
      <v>3000</v>
    </oc>
    <nc r="F22">
      <v>23400</v>
    </nc>
  </rcc>
  <rcc rId="2924" sId="7" numFmtId="34">
    <oc r="F23">
      <v>3000</v>
    </oc>
    <nc r="F23">
      <v>23400</v>
    </nc>
  </rcc>
  <rcc rId="2925" sId="7" numFmtId="34">
    <oc r="F24">
      <v>3000</v>
    </oc>
    <nc r="F24">
      <v>23400</v>
    </nc>
  </rcc>
  <rcc rId="2926" sId="7" numFmtId="34">
    <oc r="F7">
      <v>3000</v>
    </oc>
    <nc r="F7">
      <v>23400</v>
    </nc>
  </rcc>
  <rcc rId="2927" sId="7" numFmtId="34">
    <oc r="F8">
      <v>3000</v>
    </oc>
    <nc r="F8">
      <v>23400</v>
    </nc>
  </rcc>
  <rcc rId="2928" sId="7" numFmtId="34">
    <oc r="F9">
      <v>3000</v>
    </oc>
    <nc r="F9">
      <v>23400</v>
    </nc>
  </rcc>
  <rcc rId="2929" sId="7" numFmtId="34">
    <oc r="F10">
      <v>3000</v>
    </oc>
    <nc r="F10">
      <v>23400</v>
    </nc>
  </rcc>
  <rcc rId="2930" sId="7" numFmtId="34">
    <oc r="F11">
      <v>3000</v>
    </oc>
    <nc r="F11">
      <v>23400</v>
    </nc>
  </rcc>
  <rcc rId="2931" sId="7" numFmtId="34">
    <oc r="F12">
      <v>3000</v>
    </oc>
    <nc r="F12">
      <v>23400</v>
    </nc>
  </rcc>
  <rcc rId="2932" sId="7" numFmtId="34">
    <oc r="F13">
      <v>3000</v>
    </oc>
    <nc r="F13">
      <v>23400</v>
    </nc>
  </rcc>
  <rcc rId="2933" sId="7" numFmtId="34">
    <oc r="F14">
      <v>3000</v>
    </oc>
    <nc r="F14">
      <v>23400</v>
    </nc>
  </rcc>
  <rcc rId="2934" sId="7" numFmtId="34">
    <oc r="F15">
      <v>3000</v>
    </oc>
    <nc r="F15">
      <v>23400</v>
    </nc>
  </rcc>
  <rcc rId="2935" sId="7" numFmtId="34">
    <oc r="F16">
      <v>3000</v>
    </oc>
    <nc r="F16">
      <v>23400</v>
    </nc>
  </rcc>
  <rcv guid="{DF69299D-7752-4436-A45D-28F739CEE21B}" action="delete"/>
  <rdn rId="0" localSheetId="1" customView="1" name="Z_DF69299D_7752_4436_A45D_28F739CEE21B_.wvu.PrintArea" hidden="1" oldHidden="1">
    <formula>mayor!$A$1:$Q$42</formula>
    <oldFormula>mayor!$A$1:$Q$42</oldFormula>
  </rdn>
  <rdn rId="0" localSheetId="1" customView="1" name="Z_DF69299D_7752_4436_A45D_28F739CEE21B_.wvu.Cols" hidden="1" oldHidden="1">
    <formula>mayor!$P:$P</formula>
    <oldFormula>mayor!$P:$P</oldFormula>
  </rdn>
  <rdn rId="0" localSheetId="1" customView="1" name="Z_DF69299D_7752_4436_A45D_28F739CEE21B_.wvu.FilterData" hidden="1" oldHidden="1">
    <formula>mayor!$A$16:$C$16</formula>
    <oldFormula>mayor!$A$16:$C$16</oldFormula>
  </rdn>
  <rdn rId="0" localSheetId="2" customView="1" name="Z_DF69299D_7752_4436_A45D_28F739CEE21B_.wvu.PrintArea" hidden="1" oldHidden="1">
    <formula>income!$A$1:$Q$16</formula>
    <oldFormula>income!$A$1:$Q$16</oldFormula>
  </rdn>
  <rdn rId="0" localSheetId="2" customView="1" name="Z_DF69299D_7752_4436_A45D_28F739CEE21B_.wvu.Cols" hidden="1" oldHidden="1">
    <formula>income!$P:$P</formula>
    <oldFormula>income!$P:$P</oldFormula>
  </rdn>
  <rdn rId="0" localSheetId="3" customView="1" name="Z_DF69299D_7752_4436_A45D_28F739CEE21B_.wvu.PrintArea" hidden="1" oldHidden="1">
    <formula>workshop!$A$1:$Q$20</formula>
    <oldFormula>workshop!$A$1:$Q$20</oldFormula>
  </rdn>
  <rdn rId="0" localSheetId="3" customView="1" name="Z_DF69299D_7752_4436_A45D_28F739CEE21B_.wvu.Cols" hidden="1" oldHidden="1">
    <formula>workshop!$J:$J,workshop!$P:$P</formula>
    <oldFormula>workshop!$J:$J,workshop!$P:$P</oldFormula>
  </rdn>
  <rdn rId="0" localSheetId="4" customView="1" name="Z_DF69299D_7752_4436_A45D_28F739CEE21B_.wvu.PrintArea" hidden="1" oldHidden="1">
    <formula>'COMMUNITY SERV'!$A$1:$Q$102</formula>
    <oldFormula>'COMMUNITY SERV'!$A$1:$Q$102</oldFormula>
  </rdn>
  <rdn rId="0" localSheetId="5" customView="1" name="Z_DF69299D_7752_4436_A45D_28F739CEE21B_.wvu.PrintArea" hidden="1" oldHidden="1">
    <formula>EEM!$A$1:$Q$97</formula>
    <oldFormula>EEM!$A$1:$Q$97</oldFormula>
  </rdn>
  <rdn rId="0" localSheetId="6" customView="1" name="Z_DF69299D_7752_4436_A45D_28F739CEE21B_.wvu.PrintArea" hidden="1" oldHidden="1">
    <formula>CEM!$A$1:$Q$145</formula>
    <oldFormula>CEM!$A$1:$Q$145</oldFormula>
  </rdn>
  <rdn rId="0" localSheetId="6" customView="1" name="Z_DF69299D_7752_4436_A45D_28F739CEE21B_.wvu.Rows" hidden="1" oldHidden="1">
    <formula>CEM!$140:$140</formula>
    <oldFormula>CEM!$140:$140</oldFormula>
  </rdn>
  <rdn rId="0" localSheetId="6" customView="1" name="Z_DF69299D_7752_4436_A45D_28F739CEE21B_.wvu.Cols" hidden="1" oldHidden="1">
    <formula>CEM!$P:$P</formula>
    <oldFormula>CEM!$P:$P</oldFormula>
  </rdn>
  <rdn rId="0" localSheetId="7" customView="1" name="Z_DF69299D_7752_4436_A45D_28F739CEE21B_.wvu.PrintArea" hidden="1" oldHidden="1">
    <formula>MDC!$A$1:$Q$90</formula>
    <oldFormula>MDC!$A$1:$Q$90</oldFormula>
  </rdn>
  <rdn rId="0" localSheetId="7" customView="1" name="Z_DF69299D_7752_4436_A45D_28F739CEE21B_.wvu.Rows" hidden="1" oldHidden="1">
    <formula>MDC!$67:$73</formula>
    <oldFormula>MDC!$67:$73</oldFormula>
  </rdn>
  <rdn rId="0" localSheetId="7" customView="1" name="Z_DF69299D_7752_4436_A45D_28F739CEE21B_.wvu.Cols" hidden="1" oldHidden="1">
    <formula>MDC!$J:$J,MDC!$P:$P</formula>
    <oldFormula>MDC!$J:$J,MDC!$P:$P</oldFormula>
  </rdn>
  <rdn rId="0" localSheetId="8" customView="1" name="Z_DF69299D_7752_4436_A45D_28F739CEE21B_.wvu.PrintArea" hidden="1" oldHidden="1">
    <formula>BUDGET!$A$1:$B$76</formula>
    <oldFormula>BUDGET!$A$1:$B$76</oldFormula>
  </rdn>
  <rdn rId="0" localSheetId="8" customView="1" name="Z_DF69299D_7752_4436_A45D_28F739CEE21B_.wvu.Rows" hidden="1" oldHidden="1">
    <formula>BUDGET!$3:$7,BUDGET!$9:$9,BUDGET!$11:$11,BUDGET!$13:$16,BUDGET!$18:$21,BUDGET!$23:$23,BUDGET!$25:$28,BUDGET!$30:$36,BUDGET!$38:$38,BUDGET!$40:$40,BUDGET!$42:$47,BUDGET!$49:$49,BUDGET!$51:$54,BUDGET!$56:$59,BUDGET!$61:$66,BUDGET!$68:$68,BUDGET!$70:$70</formula>
    <oldFormula>BUDGET!$3:$7,BUDGET!$9:$9,BUDGET!$11:$11,BUDGET!$13:$16,BUDGET!$18:$21,BUDGET!$23:$23,BUDGET!$25:$28,BUDGET!$30:$36,BUDGET!$38:$38,BUDGET!$40:$40,BUDGET!$42:$47,BUDGET!$49:$49,BUDGET!$51:$54,BUDGET!$56:$59,BUDGET!$61:$66,BUDGET!$68:$68,BUDGET!$70:$70</oldFormula>
  </rdn>
  <rdn rId="0" localSheetId="8" customView="1" name="Z_DF69299D_7752_4436_A45D_28F739CEE21B_.wvu.Cols" hidden="1" oldHidden="1">
    <formula>BUDGET!$C:$S</formula>
    <oldFormula>BUDGET!$C:$S</oldFormula>
  </rdn>
  <rdn rId="0" localSheetId="10" customView="1" name="Z_DF69299D_7752_4436_A45D_28F739CEE21B_.wvu.FilterData" hidden="1" oldHidden="1">
    <formula>orig!$A$1:$AN$198</formula>
    <oldFormula>orig!$A$1:$AN$198</oldFormula>
  </rdn>
  <rdn rId="0" localSheetId="11" customView="1" name="Z_DF69299D_7752_4436_A45D_28F739CEE21B_.wvu.Cols" hidden="1" oldHidden="1">
    <formula>'1-10'!$B:$B</formula>
    <oldFormula>'1-10'!$B:$B</oldFormula>
  </rdn>
  <rdn rId="0" localSheetId="11" customView="1" name="Z_DF69299D_7752_4436_A45D_28F739CEE21B_.wvu.FilterData" hidden="1" oldHidden="1">
    <formula>'1-10'!$A$1:$AY$100</formula>
    <oldFormula>'1-10'!$A$1:$AY$100</oldFormula>
  </rdn>
  <rdn rId="0" localSheetId="12" customView="1" name="Z_DF69299D_7752_4436_A45D_28F739CEE21B_.wvu.Rows" hidden="1" oldHidden="1">
    <formula>'new veh 2012'!$96:$97</formula>
    <oldFormula>'new veh 2012'!$96:$97</oldFormula>
  </rdn>
  <rdn rId="0" localSheetId="12" customView="1" name="Z_DF69299D_7752_4436_A45D_28F739CEE21B_.wvu.FilterData" hidden="1" oldHidden="1">
    <formula>'new veh 2012'!$A$1:$J$95</formula>
    <oldFormula>'new veh 2012'!$A$1:$J$95</oldFormula>
  </rdn>
  <rdn rId="0" localSheetId="14" customView="1" name="Z_DF69299D_7752_4436_A45D_28F739CEE21B_.wvu.FilterData" hidden="1" oldHidden="1">
    <formula>stbk!$A$1:$G$199</formula>
    <oldFormula>stbk!$A$1:$G$199</oldFormula>
  </rdn>
  <rcv guid="{DF69299D-7752-4436-A45D-28F739CEE21B}" action="add"/>
</revisions>
</file>

<file path=xl/revisions/revisionLog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60" sId="9" numFmtId="34">
    <oc r="A4">
      <v>22</v>
    </oc>
    <nc r="A4">
      <v>24</v>
    </nc>
  </rcc>
</revisions>
</file>

<file path=xl/revisions/revisionLog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61" sId="9" numFmtId="34">
    <oc r="A4">
      <v>24</v>
    </oc>
    <nc r="A4">
      <v>25</v>
    </nc>
  </rcc>
</revisions>
</file>

<file path=xl/revisions/revisionLog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5" sqref="A41">
    <dxf>
      <fill>
        <patternFill patternType="solid">
          <bgColor theme="4"/>
        </patternFill>
      </fill>
    </dxf>
  </rfmt>
  <rcc rId="2962" sId="5">
    <oc r="A41">
      <f>+'1-10'!C41</f>
    </oc>
    <nc r="A41" t="inlineStr">
      <is>
        <t>r</t>
      </is>
    </nc>
  </rcc>
  <rfmt sheetId="6" sqref="A95:D95">
    <dxf>
      <fill>
        <patternFill>
          <bgColor rgb="FFFFC000"/>
        </patternFill>
      </fill>
    </dxf>
  </rfmt>
  <rcc rId="2963" sId="6" numFmtId="4">
    <oc r="D95">
      <v>300</v>
    </oc>
    <nc r="D95">
      <v>0</v>
    </nc>
  </rcc>
  <rcc rId="2964" sId="6" numFmtId="34">
    <oc r="G95">
      <f>3000*(1+CALC!$A$2)</f>
    </oc>
    <nc r="G95">
      <v>0</v>
    </nc>
  </rcc>
  <rcc rId="2965" sId="6" numFmtId="34">
    <oc r="H95">
      <f>20000*(1+CALC!$A$2)</f>
    </oc>
    <nc r="H95">
      <v>0</v>
    </nc>
  </rcc>
  <rcc rId="2966" sId="6" numFmtId="34">
    <oc r="K95">
      <v>468</v>
    </oc>
    <nc r="K95">
      <v>0</v>
    </nc>
  </rcc>
  <rcc rId="2967" sId="6">
    <oc r="A95" t="inlineStr">
      <is>
        <t>WRIGHT 120G</t>
      </is>
    </oc>
    <nc r="A95" t="inlineStr">
      <is>
        <t>WRIGHT 120G Auctioned Nov 2022</t>
      </is>
    </nc>
  </rcc>
  <rfmt sheetId="6" sqref="A93:D94">
    <dxf>
      <fill>
        <patternFill>
          <bgColor rgb="FFFFC000"/>
        </patternFill>
      </fill>
    </dxf>
  </rfmt>
  <rcc rId="2968" sId="6" numFmtId="34">
    <oc r="F93">
      <v>3000</v>
    </oc>
    <nc r="F93">
      <v>0</v>
    </nc>
  </rcc>
  <rcc rId="2969" sId="6" numFmtId="34">
    <oc r="G93">
      <f>5000*(1+CALC!$A$2)</f>
    </oc>
    <nc r="G93">
      <v>0</v>
    </nc>
  </rcc>
  <rcc rId="2970" sId="6" numFmtId="34">
    <oc r="H93">
      <f>25000*(1+CALC!$A$2)</f>
    </oc>
    <nc r="H93">
      <v>0</v>
    </nc>
  </rcc>
  <rcc rId="2971" sId="6" numFmtId="34">
    <oc r="K93">
      <v>468</v>
    </oc>
    <nc r="K93">
      <v>0</v>
    </nc>
  </rcc>
  <rcc rId="2972" sId="6" numFmtId="34">
    <oc r="F94">
      <v>3000</v>
    </oc>
    <nc r="F94">
      <v>0</v>
    </nc>
  </rcc>
  <rcc rId="2973" sId="6" numFmtId="34">
    <oc r="G94">
      <f>5000*(1+CALC!$A$2)</f>
    </oc>
    <nc r="G94">
      <v>0</v>
    </nc>
  </rcc>
  <rcc rId="2974" sId="6" numFmtId="34">
    <oc r="H94">
      <f>6000*(1+CALC!$A$2)</f>
    </oc>
    <nc r="H94">
      <v>0</v>
    </nc>
  </rcc>
  <rcc rId="2975" sId="6" numFmtId="34">
    <oc r="K94">
      <v>468</v>
    </oc>
    <nc r="K94">
      <v>0</v>
    </nc>
  </rcc>
  <rcc rId="2976" sId="6">
    <oc r="A93" t="inlineStr">
      <is>
        <t>JCB</t>
      </is>
    </oc>
    <nc r="A93" t="inlineStr">
      <is>
        <t>JCB Auctioned Nov 2023</t>
      </is>
    </nc>
  </rcc>
  <rcc rId="2977" sId="6">
    <oc r="A94" t="inlineStr">
      <is>
        <t>JCB</t>
      </is>
    </oc>
    <nc r="A94" t="inlineStr">
      <is>
        <t>JCB Auctioned Nov 2023</t>
      </is>
    </nc>
  </rcc>
  <rfmt sheetId="7" sqref="A50:C50">
    <dxf>
      <fill>
        <patternFill>
          <bgColor rgb="FFFFC000"/>
        </patternFill>
      </fill>
    </dxf>
  </rfmt>
  <rcc rId="2978" sId="7">
    <oc r="A50" t="inlineStr">
      <is>
        <t>JCB</t>
      </is>
    </oc>
    <nc r="A50" t="inlineStr">
      <is>
        <t>JCB Autiond Nov 2023</t>
      </is>
    </nc>
  </rcc>
  <rcc rId="2979" sId="7" numFmtId="4">
    <oc r="D50">
      <v>300</v>
    </oc>
    <nc r="D50">
      <v>0</v>
    </nc>
  </rcc>
  <rcc rId="2980" sId="7" numFmtId="34">
    <oc r="F50">
      <v>3000</v>
    </oc>
    <nc r="F50">
      <v>0</v>
    </nc>
  </rcc>
  <rcc rId="2981" sId="7" numFmtId="34">
    <oc r="G50">
      <f>6057.27*(1+CALC!$A$2)</f>
    </oc>
    <nc r="G50">
      <v>0</v>
    </nc>
  </rcc>
  <rcc rId="2982" sId="7" numFmtId="34">
    <oc r="H50">
      <f>40000*(1+CALC!$A$2)</f>
    </oc>
    <nc r="H50">
      <v>0</v>
    </nc>
  </rcc>
  <rcc rId="2983" sId="7" numFmtId="34">
    <oc r="K50">
      <v>240</v>
    </oc>
    <nc r="K50">
      <v>0</v>
    </nc>
  </rcc>
</revisions>
</file>

<file path=xl/revisions/revisionLog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5" sqref="A34:D34">
    <dxf>
      <fill>
        <patternFill patternType="solid">
          <bgColor rgb="FFFFC000"/>
        </patternFill>
      </fill>
    </dxf>
  </rfmt>
  <rfmt sheetId="5" sqref="A35:D35">
    <dxf>
      <fill>
        <patternFill patternType="solid">
          <bgColor rgb="FFFFC000"/>
        </patternFill>
      </fill>
    </dxf>
  </rfmt>
  <rfmt sheetId="5" sqref="A36:D36">
    <dxf>
      <fill>
        <patternFill patternType="solid">
          <bgColor rgb="FFFFC000"/>
        </patternFill>
      </fill>
    </dxf>
  </rfmt>
  <rfmt sheetId="5" sqref="A41:C41">
    <dxf>
      <fill>
        <patternFill>
          <bgColor rgb="FFFFC000"/>
        </patternFill>
      </fill>
    </dxf>
  </rfmt>
  <rfmt sheetId="5" sqref="A38:D38">
    <dxf>
      <fill>
        <patternFill patternType="solid">
          <bgColor rgb="FFFFC000"/>
        </patternFill>
      </fill>
    </dxf>
  </rfmt>
  <rfmt sheetId="5" sqref="A37:D37">
    <dxf>
      <fill>
        <patternFill patternType="solid">
          <bgColor rgb="FFFFC000"/>
        </patternFill>
      </fill>
    </dxf>
  </rfmt>
  <rfmt sheetId="5" sqref="A30:C30">
    <dxf>
      <fill>
        <patternFill patternType="solid">
          <bgColor rgb="FFFFC000"/>
        </patternFill>
      </fill>
    </dxf>
  </rfmt>
  <rfmt sheetId="5" sqref="A33:C33">
    <dxf>
      <fill>
        <patternFill patternType="solid">
          <bgColor rgb="FFFFC000"/>
        </patternFill>
      </fill>
    </dxf>
  </rfmt>
  <rcc rId="2984" sId="5" numFmtId="4">
    <oc r="D30">
      <v>38000</v>
    </oc>
    <nc r="D30">
      <v>0</v>
    </nc>
  </rcc>
  <rcc rId="2985" sId="5" numFmtId="34">
    <oc r="F30">
      <v>3000</v>
    </oc>
    <nc r="F30">
      <v>0</v>
    </nc>
  </rcc>
  <rcc rId="2986" sId="5" numFmtId="34">
    <oc r="G30">
      <f>5500*(1+CALC!$A$2)</f>
    </oc>
    <nc r="G30">
      <v>0</v>
    </nc>
  </rcc>
  <rcc rId="2987" sId="5" numFmtId="34">
    <oc r="H30">
      <f>58000</f>
    </oc>
    <nc r="H30">
      <v>0</v>
    </nc>
  </rcc>
  <rcc rId="2988" sId="5" numFmtId="34">
    <oc r="I30">
      <v>23878.29</v>
    </oc>
    <nc r="I30">
      <v>0</v>
    </nc>
  </rcc>
  <rcc rId="2989" sId="5" numFmtId="34">
    <oc r="K30">
      <v>1200</v>
    </oc>
    <nc r="K30">
      <v>0</v>
    </nc>
  </rcc>
  <rcc rId="2990" sId="5" numFmtId="4">
    <oc r="D33">
      <v>10000</v>
    </oc>
    <nc r="D33">
      <v>0</v>
    </nc>
  </rcc>
  <rcc rId="2991" sId="5" numFmtId="34">
    <oc r="F33">
      <v>3000</v>
    </oc>
    <nc r="F33">
      <v>0</v>
    </nc>
  </rcc>
  <rcc rId="2992" sId="5" numFmtId="34">
    <oc r="G33">
      <f>5500*(1+CALC!$A$2)</f>
    </oc>
    <nc r="G33">
      <v>0</v>
    </nc>
  </rcc>
  <rcc rId="2993" sId="5" numFmtId="34">
    <oc r="H33">
      <f>8000*(1+CALC!$A$2)</f>
    </oc>
    <nc r="H33">
      <v>0</v>
    </nc>
  </rcc>
  <rcc rId="2994" sId="5" numFmtId="34">
    <oc r="I33">
      <v>23928.17</v>
    </oc>
    <nc r="I33">
      <v>0</v>
    </nc>
  </rcc>
  <rcc rId="2995" sId="5" numFmtId="34">
    <oc r="K33">
      <v>1200</v>
    </oc>
    <nc r="K33">
      <v>0</v>
    </nc>
  </rcc>
  <rcc rId="2996" sId="5" numFmtId="4">
    <oc r="D34">
      <v>10000</v>
    </oc>
    <nc r="D34">
      <v>0</v>
    </nc>
  </rcc>
  <rcc rId="2997" sId="5" numFmtId="34">
    <oc r="F34">
      <v>3000</v>
    </oc>
    <nc r="F34">
      <v>0</v>
    </nc>
  </rcc>
  <rcc rId="2998" sId="5" numFmtId="34">
    <oc r="G34">
      <f>5500*(1+CALC!$A$2)</f>
    </oc>
    <nc r="G34">
      <v>0</v>
    </nc>
  </rcc>
  <rcc rId="2999" sId="5" numFmtId="34">
    <oc r="H34">
      <f>8000*(1+CALC!$A$2)</f>
    </oc>
    <nc r="H34">
      <v>0</v>
    </nc>
  </rcc>
  <rcc rId="3000" sId="5" numFmtId="34">
    <oc r="I34">
      <v>23878.29</v>
    </oc>
    <nc r="I34">
      <v>0</v>
    </nc>
  </rcc>
  <rcc rId="3001" sId="5" numFmtId="34">
    <oc r="K34">
      <v>1200</v>
    </oc>
    <nc r="K34">
      <v>0</v>
    </nc>
  </rcc>
  <rcc rId="3002" sId="5" numFmtId="4">
    <oc r="D35">
      <v>20000</v>
    </oc>
    <nc r="D35">
      <v>0</v>
    </nc>
  </rcc>
  <rcc rId="3003" sId="5" numFmtId="34">
    <oc r="F35">
      <v>3000</v>
    </oc>
    <nc r="F35">
      <v>0</v>
    </nc>
  </rcc>
  <rcc rId="3004" sId="5" numFmtId="34">
    <oc r="G35">
      <f>5500*(1+CALC!$A$2)</f>
    </oc>
    <nc r="G35">
      <v>0</v>
    </nc>
  </rcc>
  <rcc rId="3005" sId="5" numFmtId="34">
    <oc r="H35">
      <f>58000</f>
    </oc>
    <nc r="H35">
      <v>0</v>
    </nc>
  </rcc>
  <rcc rId="3006" sId="5" numFmtId="34">
    <oc r="I35">
      <v>23969.439999999999</v>
    </oc>
    <nc r="I35">
      <v>0</v>
    </nc>
  </rcc>
  <rcc rId="3007" sId="5" numFmtId="34">
    <oc r="K35">
      <v>1200</v>
    </oc>
    <nc r="K35">
      <v>0</v>
    </nc>
  </rcc>
  <rcc rId="3008" sId="5" numFmtId="4">
    <oc r="D36">
      <v>10000</v>
    </oc>
    <nc r="D36">
      <v>0</v>
    </nc>
  </rcc>
  <rcc rId="3009" sId="5" numFmtId="34">
    <oc r="F36">
      <v>3000</v>
    </oc>
    <nc r="F36">
      <v>0</v>
    </nc>
  </rcc>
  <rcc rId="3010" sId="5" numFmtId="34">
    <oc r="G36">
      <f>5500*(1+CALC!$A$2)</f>
    </oc>
    <nc r="G36">
      <v>0</v>
    </nc>
  </rcc>
  <rcc rId="3011" sId="5" numFmtId="34">
    <oc r="H36">
      <f>8000*(1+CALC!$A$2)</f>
    </oc>
    <nc r="H36">
      <v>0</v>
    </nc>
  </rcc>
  <rcc rId="3012" sId="5" numFmtId="34">
    <oc r="I36">
      <v>23878.29</v>
    </oc>
    <nc r="I36">
      <v>0</v>
    </nc>
  </rcc>
  <rcc rId="3013" sId="5" numFmtId="34">
    <oc r="K36">
      <v>1200</v>
    </oc>
    <nc r="K36">
      <v>0</v>
    </nc>
  </rcc>
  <rcc rId="3014" sId="5" numFmtId="4">
    <oc r="D37">
      <v>10000</v>
    </oc>
    <nc r="D37">
      <v>0</v>
    </nc>
  </rcc>
  <rcc rId="3015" sId="5" numFmtId="34">
    <oc r="E37">
      <f>+D37/P37*(CALC!$A$4)</f>
    </oc>
    <nc r="E37">
      <v>0</v>
    </nc>
  </rcc>
  <rcc rId="3016" sId="5" numFmtId="34">
    <oc r="F37">
      <v>3000</v>
    </oc>
    <nc r="F37">
      <v>0</v>
    </nc>
  </rcc>
  <rcc rId="3017" sId="5" numFmtId="34">
    <oc r="G37">
      <f>5500*(1+CALC!$A$2)</f>
    </oc>
    <nc r="G37">
      <v>0</v>
    </nc>
  </rcc>
  <rcc rId="3018" sId="5" numFmtId="34">
    <oc r="H37">
      <f>8000*(1+CALC!$A$2)</f>
    </oc>
    <nc r="H37">
      <v>0</v>
    </nc>
  </rcc>
  <rcc rId="3019" sId="5" numFmtId="34">
    <oc r="I37">
      <v>23878.29</v>
    </oc>
    <nc r="I37">
      <v>0</v>
    </nc>
  </rcc>
  <rcc rId="3020" sId="5" numFmtId="34">
    <oc r="K37">
      <v>1200</v>
    </oc>
    <nc r="K37">
      <v>0</v>
    </nc>
  </rcc>
  <rcc rId="3021" sId="5" numFmtId="4">
    <oc r="D38">
      <v>20000</v>
    </oc>
    <nc r="D38">
      <v>0</v>
    </nc>
  </rcc>
  <rcc rId="3022" sId="5" numFmtId="34">
    <oc r="F38">
      <v>3000</v>
    </oc>
    <nc r="F38">
      <v>0</v>
    </nc>
  </rcc>
  <rcc rId="3023" sId="5" numFmtId="34">
    <oc r="G38">
      <f>5500*(1+CALC!$A$2)</f>
    </oc>
    <nc r="G38">
      <v>0</v>
    </nc>
  </rcc>
  <rcc rId="3024" sId="5" numFmtId="34">
    <oc r="H38">
      <f>58000</f>
    </oc>
    <nc r="H38">
      <v>0</v>
    </nc>
  </rcc>
  <rcc rId="3025" sId="5" numFmtId="34">
    <oc r="I38">
      <v>23929.17</v>
    </oc>
    <nc r="I38">
      <v>0</v>
    </nc>
  </rcc>
  <rcc rId="3026" sId="5" numFmtId="34">
    <oc r="K38">
      <v>1200</v>
    </oc>
    <nc r="K38">
      <v>0</v>
    </nc>
  </rcc>
  <rcc rId="3027" sId="5" numFmtId="4">
    <oc r="D41">
      <v>30000</v>
    </oc>
    <nc r="D41">
      <v>0</v>
    </nc>
  </rcc>
  <rcc rId="3028" sId="5" numFmtId="34">
    <oc r="F41">
      <v>3000</v>
    </oc>
    <nc r="F41">
      <v>0</v>
    </nc>
  </rcc>
  <rcc rId="3029" sId="5" numFmtId="34">
    <oc r="G41">
      <f>5500*(1+CALC!$A$2)</f>
    </oc>
    <nc r="G41">
      <v>0</v>
    </nc>
  </rcc>
  <rcc rId="3030" sId="5" numFmtId="34">
    <oc r="H41">
      <f>58000</f>
    </oc>
    <nc r="H41">
      <v>0</v>
    </nc>
  </rcc>
  <rcc rId="3031" sId="5" numFmtId="34">
    <oc r="I41">
      <v>23878.29</v>
    </oc>
    <nc r="I41">
      <v>0</v>
    </nc>
  </rcc>
  <rcc rId="3032" sId="5" numFmtId="34">
    <oc r="K41">
      <v>1200</v>
    </oc>
    <nc r="K41">
      <v>0</v>
    </nc>
  </rcc>
</revisions>
</file>

<file path=xl/revisions/revisionLog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5" sqref="A42:C42">
    <dxf>
      <fill>
        <patternFill patternType="solid">
          <bgColor rgb="FF92D050"/>
        </patternFill>
      </fill>
    </dxf>
  </rfmt>
  <rfmt sheetId="5" sqref="A43:C43">
    <dxf>
      <fill>
        <patternFill patternType="solid">
          <bgColor rgb="FF92D050"/>
        </patternFill>
      </fill>
    </dxf>
  </rfmt>
  <rfmt sheetId="5" sqref="A46:B46">
    <dxf>
      <fill>
        <patternFill patternType="solid">
          <bgColor rgb="FF92D050"/>
        </patternFill>
      </fill>
    </dxf>
  </rfmt>
  <rfmt sheetId="5" sqref="A45:B46">
    <dxf>
      <fill>
        <patternFill>
          <bgColor rgb="FF92D050"/>
        </patternFill>
      </fill>
    </dxf>
  </rfmt>
  <rcc rId="3033" sId="5" numFmtId="34">
    <oc r="F42">
      <v>3000</v>
    </oc>
    <nc r="F42">
      <v>23400</v>
    </nc>
  </rcc>
  <rcc rId="3034" sId="5" numFmtId="34">
    <oc r="F43">
      <v>3000</v>
    </oc>
    <nc r="F43">
      <v>23400</v>
    </nc>
  </rcc>
  <rcc rId="3035" sId="5" numFmtId="34">
    <oc r="F44">
      <v>3000</v>
    </oc>
    <nc r="F44">
      <v>23400</v>
    </nc>
  </rcc>
  <rcc rId="3036" sId="5" numFmtId="34">
    <oc r="F45">
      <v>3000</v>
    </oc>
    <nc r="F45">
      <v>23400</v>
    </nc>
  </rcc>
  <rcc rId="3037" sId="5" numFmtId="34">
    <oc r="F46">
      <v>3000</v>
    </oc>
    <nc r="F46">
      <v>23400</v>
    </nc>
  </rcc>
</revisions>
</file>

<file path=xl/revisions/revisionLog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5" sqref="A44:B44">
    <dxf>
      <fill>
        <patternFill patternType="solid">
          <bgColor rgb="FFFFC000"/>
        </patternFill>
      </fill>
    </dxf>
  </rfmt>
  <rcc rId="3038" sId="5" numFmtId="4">
    <oc r="D44">
      <v>40000</v>
    </oc>
    <nc r="D44">
      <v>0</v>
    </nc>
  </rcc>
  <rcc rId="3039" sId="5" numFmtId="34">
    <oc r="F44">
      <v>23400</v>
    </oc>
    <nc r="F44">
      <v>0</v>
    </nc>
  </rcc>
  <rcc rId="3040" sId="5" numFmtId="34">
    <oc r="G44">
      <f>5500*(1+CALC!$A$2)</f>
    </oc>
    <nc r="G44">
      <v>0</v>
    </nc>
  </rcc>
  <rcc rId="3041" sId="5" numFmtId="34">
    <oc r="H44">
      <v>20000</v>
    </oc>
    <nc r="H44">
      <v>0</v>
    </nc>
  </rcc>
  <rcc rId="3042" sId="5" numFmtId="34">
    <oc r="I44">
      <v>100000</v>
    </oc>
    <nc r="I44">
      <v>0</v>
    </nc>
  </rcc>
  <rcc rId="3043" sId="5" numFmtId="34">
    <oc r="K44">
      <v>1200</v>
    </oc>
    <nc r="K44">
      <v>0</v>
    </nc>
  </rcc>
</revisions>
</file>

<file path=xl/revisions/revisionLog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044" sId="5">
    <nc r="C44" t="inlineStr">
      <is>
        <t>W/O</t>
      </is>
    </nc>
  </rcc>
</revisions>
</file>

<file path=xl/revisions/revisionLog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5" sqref="A29:C29">
    <dxf>
      <fill>
        <patternFill patternType="solid">
          <bgColor rgb="FF92D050"/>
        </patternFill>
      </fill>
    </dxf>
  </rfmt>
</revisions>
</file>

<file path=xl/revisions/revisionLog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045" sId="5" numFmtId="34">
    <oc r="F29">
      <v>3000</v>
    </oc>
    <nc r="F29">
      <v>23400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4" sqref="A66:C66">
    <dxf>
      <fill>
        <patternFill patternType="solid">
          <bgColor rgb="FFFFFF00"/>
        </patternFill>
      </fill>
    </dxf>
  </rfmt>
</revisions>
</file>

<file path=xl/revisions/revisionLog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4" sqref="A14:C14">
    <dxf>
      <fill>
        <patternFill patternType="solid">
          <bgColor rgb="FF92D050"/>
        </patternFill>
      </fill>
    </dxf>
  </rfmt>
  <rfmt sheetId="4" sqref="A20:C20">
    <dxf>
      <fill>
        <patternFill patternType="solid">
          <bgColor rgb="FF92D050"/>
        </patternFill>
      </fill>
    </dxf>
  </rfmt>
  <rfmt sheetId="5" sqref="A16:C16">
    <dxf>
      <fill>
        <patternFill patternType="solid">
          <bgColor rgb="FFFFC000"/>
        </patternFill>
      </fill>
    </dxf>
  </rfmt>
  <rcc rId="3046" sId="5" numFmtId="4">
    <oc r="D16">
      <v>10000</v>
    </oc>
    <nc r="D16">
      <v>0</v>
    </nc>
  </rcc>
  <rcc rId="3047" sId="5" numFmtId="34">
    <oc r="F16">
      <v>3000</v>
    </oc>
    <nc r="F16">
      <v>0</v>
    </nc>
  </rcc>
  <rcc rId="3048" sId="5" numFmtId="34">
    <oc r="G16">
      <f>6057.278*(1+CALC!$A$2)</f>
    </oc>
    <nc r="G16">
      <v>0</v>
    </nc>
  </rcc>
  <rcc rId="3049" sId="5" numFmtId="34">
    <oc r="H16">
      <v>40000</v>
    </oc>
    <nc r="H16">
      <v>0</v>
    </nc>
  </rcc>
  <rcc rId="3050" sId="5" numFmtId="34">
    <oc r="I16">
      <v>30000</v>
    </oc>
    <nc r="I16">
      <v>0</v>
    </nc>
  </rcc>
  <rcc rId="3051" sId="5" numFmtId="34">
    <oc r="K16">
      <v>2400</v>
    </oc>
    <nc r="K16">
      <v>0</v>
    </nc>
  </rcc>
</revisions>
</file>

<file path=xl/revisions/revisionLog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6" sqref="A79:C79">
    <dxf>
      <fill>
        <patternFill patternType="solid">
          <bgColor rgb="FF92D050"/>
        </patternFill>
      </fill>
    </dxf>
  </rfmt>
  <rcc rId="3052" sId="6" numFmtId="34">
    <oc r="F79">
      <v>3000</v>
    </oc>
    <nc r="F79">
      <v>23400</v>
    </nc>
  </rcc>
</revisions>
</file>

<file path=xl/revisions/revisionLog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A9:C9">
    <dxf>
      <fill>
        <patternFill patternType="solid">
          <bgColor rgb="FF92D050"/>
        </patternFill>
      </fill>
    </dxf>
  </rfmt>
  <rcc rId="3053" sId="3" numFmtId="34">
    <oc r="F9">
      <v>3000</v>
    </oc>
    <nc r="F9">
      <v>23400</v>
    </nc>
  </rcc>
</revisions>
</file>

<file path=xl/revisions/revisionLog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054" sId="1" numFmtId="34">
    <oc r="F28">
      <v>0</v>
    </oc>
    <nc r="F28">
      <v>23400</v>
    </nc>
  </rcc>
</revisions>
</file>

<file path=xl/revisions/revisionLog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055" sId="6" numFmtId="34">
    <oc r="K7">
      <v>960</v>
    </oc>
    <nc r="K7">
      <v>1100</v>
    </nc>
  </rcc>
  <rcc rId="3056" sId="6" numFmtId="34">
    <oc r="K8">
      <v>960</v>
    </oc>
    <nc r="K8">
      <v>1100</v>
    </nc>
  </rcc>
</revisions>
</file>

<file path=xl/revisions/revisionLog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4" sqref="E66">
    <dxf>
      <fill>
        <patternFill patternType="solid">
          <bgColor rgb="FF00B0F0"/>
        </patternFill>
      </fill>
    </dxf>
  </rfmt>
  <rfmt sheetId="4" sqref="E68">
    <dxf>
      <fill>
        <patternFill patternType="solid">
          <bgColor rgb="FF00B0F0"/>
        </patternFill>
      </fill>
    </dxf>
  </rfmt>
  <rfmt sheetId="4" sqref="E67">
    <dxf>
      <fill>
        <patternFill patternType="solid">
          <bgColor rgb="FF00B0F0"/>
        </patternFill>
      </fill>
    </dxf>
  </rfmt>
  <rfmt sheetId="4" sqref="E69">
    <dxf>
      <fill>
        <patternFill patternType="solid">
          <bgColor rgb="FF00B0F0"/>
        </patternFill>
      </fill>
    </dxf>
  </rfmt>
  <rfmt sheetId="4" sqref="E70">
    <dxf>
      <fill>
        <patternFill patternType="solid">
          <bgColor rgb="FF00B0F0"/>
        </patternFill>
      </fill>
    </dxf>
  </rfmt>
  <rfmt sheetId="7" sqref="E83">
    <dxf>
      <fill>
        <patternFill>
          <bgColor rgb="FF00B0F0"/>
        </patternFill>
      </fill>
    </dxf>
  </rfmt>
  <rfmt sheetId="4" sqref="E72">
    <dxf>
      <fill>
        <patternFill>
          <bgColor rgb="FF00B0F0"/>
        </patternFill>
      </fill>
    </dxf>
  </rfmt>
  <rfmt sheetId="7" sqref="E77">
    <dxf>
      <fill>
        <patternFill>
          <bgColor rgb="FF00B0F0"/>
        </patternFill>
      </fill>
    </dxf>
  </rfmt>
</revisions>
</file>

<file path=xl/revisions/revisionLog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6" sqref="E53:E54">
    <dxf>
      <fill>
        <patternFill patternType="solid">
          <bgColor rgb="FF00B0F0"/>
        </patternFill>
      </fill>
    </dxf>
  </rfmt>
</revisions>
</file>

<file path=xl/revisions/revisionLog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5" sqref="E29">
    <dxf>
      <fill>
        <patternFill patternType="solid">
          <bgColor rgb="FF00B0F0"/>
        </patternFill>
      </fill>
    </dxf>
  </rfmt>
  <rfmt sheetId="6" sqref="E15">
    <dxf>
      <fill>
        <patternFill patternType="solid">
          <bgColor rgb="FF00B0F0"/>
        </patternFill>
      </fill>
    </dxf>
  </rfmt>
  <rfmt sheetId="6" sqref="E13">
    <dxf>
      <fill>
        <patternFill patternType="solid">
          <bgColor rgb="FF00B0F0"/>
        </patternFill>
      </fill>
    </dxf>
  </rfmt>
  <rfmt sheetId="6" sqref="E14">
    <dxf>
      <fill>
        <patternFill patternType="solid">
          <bgColor rgb="FF00B0F0"/>
        </patternFill>
      </fill>
    </dxf>
  </rfmt>
  <rfmt sheetId="7" sqref="E24">
    <dxf>
      <fill>
        <patternFill patternType="solid">
          <bgColor rgb="FF00B0F0"/>
        </patternFill>
      </fill>
    </dxf>
  </rfmt>
</revisions>
</file>

<file path=xl/revisions/revisionLog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5" sqref="E31">
    <dxf>
      <fill>
        <patternFill patternType="solid">
          <bgColor rgb="FF00B0F0"/>
        </patternFill>
      </fill>
    </dxf>
  </rfmt>
  <rfmt sheetId="5" sqref="E32">
    <dxf>
      <fill>
        <patternFill patternType="solid">
          <bgColor rgb="FF00B0F0"/>
        </patternFill>
      </fill>
    </dxf>
  </rfmt>
  <rfmt sheetId="5" sqref="E47">
    <dxf>
      <fill>
        <patternFill patternType="solid">
          <bgColor rgb="FF00B0F0"/>
        </patternFill>
      </fill>
    </dxf>
  </rfmt>
  <rfmt sheetId="5" sqref="E40">
    <dxf>
      <fill>
        <patternFill patternType="solid">
          <bgColor rgb="FF00B0F0"/>
        </patternFill>
      </fill>
    </dxf>
  </rfmt>
  <rfmt sheetId="7" sqref="E23">
    <dxf>
      <fill>
        <patternFill patternType="solid">
          <bgColor rgb="FF00B0F0"/>
        </patternFill>
      </fill>
    </dxf>
  </rfmt>
</revisions>
</file>

<file path=xl/revisions/revisionLog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E15">
    <dxf>
      <fill>
        <patternFill patternType="solid">
          <bgColor rgb="FF00B0F0"/>
        </patternFill>
      </fill>
    </dxf>
  </rfmt>
  <rfmt sheetId="1" sqref="E15">
    <dxf>
      <fill>
        <patternFill patternType="solid">
          <bgColor rgb="FF00B0F0"/>
        </patternFill>
      </fill>
    </dxf>
  </rfmt>
  <rfmt sheetId="7" sqref="E11">
    <dxf>
      <fill>
        <patternFill patternType="solid">
          <bgColor rgb="FF00B0F0"/>
        </patternFill>
      </fill>
    </dxf>
  </rfmt>
  <rfmt sheetId="1" sqref="E8:E9">
    <dxf>
      <fill>
        <patternFill patternType="solid">
          <bgColor rgb="FF00B0F0"/>
        </patternFill>
      </fill>
    </dxf>
  </rfmt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4" sqref="A67:C67">
    <dxf>
      <fill>
        <patternFill patternType="solid">
          <bgColor rgb="FFFFFF00"/>
        </patternFill>
      </fill>
    </dxf>
  </rfmt>
  <rfmt sheetId="4" sqref="A68:C68">
    <dxf>
      <fill>
        <patternFill patternType="solid">
          <bgColor rgb="FFFFFF00"/>
        </patternFill>
      </fill>
    </dxf>
  </rfmt>
  <rfmt sheetId="4" sqref="A69:C69">
    <dxf>
      <fill>
        <patternFill patternType="solid">
          <bgColor rgb="FFFFFF00"/>
        </patternFill>
      </fill>
    </dxf>
  </rfmt>
  <rfmt sheetId="4" sqref="A70:C70">
    <dxf>
      <fill>
        <patternFill patternType="solid">
          <bgColor rgb="FFFFFF00"/>
        </patternFill>
      </fill>
    </dxf>
  </rfmt>
  <rfmt sheetId="4" sqref="A71:C71">
    <dxf>
      <fill>
        <patternFill patternType="solid">
          <bgColor rgb="FFFFFF00"/>
        </patternFill>
      </fill>
    </dxf>
  </rfmt>
  <rfmt sheetId="4" sqref="A72:D72">
    <dxf>
      <fill>
        <patternFill>
          <bgColor rgb="FFFFFF00"/>
        </patternFill>
      </fill>
    </dxf>
  </rfmt>
</revisions>
</file>

<file path=xl/revisions/revisionLog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E8">
    <dxf>
      <fill>
        <patternFill patternType="solid">
          <bgColor rgb="FF00B0F0"/>
        </patternFill>
      </fill>
    </dxf>
  </rfmt>
  <rfmt sheetId="4" sqref="E78">
    <dxf>
      <fill>
        <patternFill patternType="solid">
          <bgColor rgb="FF00B0F0"/>
        </patternFill>
      </fill>
    </dxf>
  </rfmt>
  <rfmt sheetId="4" sqref="E79">
    <dxf>
      <fill>
        <patternFill patternType="solid">
          <bgColor rgb="FF00B0F0"/>
        </patternFill>
      </fill>
    </dxf>
  </rfmt>
  <rfmt sheetId="7" sqref="E13">
    <dxf>
      <fill>
        <patternFill>
          <bgColor rgb="FF00B0F0"/>
        </patternFill>
      </fill>
    </dxf>
  </rfmt>
  <rfmt sheetId="5" sqref="E7">
    <dxf>
      <fill>
        <patternFill patternType="solid">
          <bgColor rgb="FF00B0F0"/>
        </patternFill>
      </fill>
    </dxf>
  </rfmt>
  <rfmt sheetId="6" sqref="E7">
    <dxf>
      <fill>
        <patternFill patternType="solid">
          <bgColor rgb="FF00B0F0"/>
        </patternFill>
      </fill>
    </dxf>
  </rfmt>
  <rfmt sheetId="2" sqref="E9">
    <dxf>
      <fill>
        <patternFill patternType="solid">
          <bgColor rgb="FF00B0F0"/>
        </patternFill>
      </fill>
    </dxf>
  </rfmt>
  <rfmt sheetId="4" sqref="E83">
    <dxf>
      <fill>
        <patternFill patternType="solid">
          <bgColor rgb="FF00B0F0"/>
        </patternFill>
      </fill>
    </dxf>
  </rfmt>
  <rfmt sheetId="4" sqref="E82">
    <dxf>
      <fill>
        <patternFill patternType="solid">
          <bgColor rgb="FF00B0F0"/>
        </patternFill>
      </fill>
    </dxf>
  </rfmt>
  <rfmt sheetId="7" sqref="E16">
    <dxf>
      <fill>
        <patternFill patternType="solid">
          <bgColor rgb="FF00B0F0"/>
        </patternFill>
      </fill>
    </dxf>
  </rfmt>
  <rfmt sheetId="4" sqref="E81">
    <dxf>
      <fill>
        <patternFill patternType="solid">
          <bgColor rgb="FF00B0F0"/>
        </patternFill>
      </fill>
    </dxf>
  </rfmt>
  <rfmt sheetId="4" sqref="E80">
    <dxf>
      <fill>
        <patternFill patternType="solid">
          <bgColor rgb="FF00B0F0"/>
        </patternFill>
      </fill>
    </dxf>
  </rfmt>
  <rfmt sheetId="7" sqref="E7">
    <dxf>
      <fill>
        <patternFill patternType="solid">
          <bgColor rgb="FF00B0F0"/>
        </patternFill>
      </fill>
    </dxf>
  </rfmt>
  <rfmt sheetId="7" sqref="E8">
    <dxf>
      <fill>
        <patternFill patternType="solid">
          <bgColor rgb="FF00B0F0"/>
        </patternFill>
      </fill>
    </dxf>
  </rfmt>
  <rfmt sheetId="7" sqref="E15">
    <dxf>
      <fill>
        <patternFill patternType="solid">
          <bgColor rgb="FF00B0F0"/>
        </patternFill>
      </fill>
    </dxf>
  </rfmt>
  <rfmt sheetId="7" sqref="E14">
    <dxf>
      <fill>
        <patternFill patternType="solid">
          <bgColor rgb="FF00B0F0"/>
        </patternFill>
      </fill>
    </dxf>
  </rfmt>
  <rfmt sheetId="7" sqref="E10">
    <dxf>
      <fill>
        <patternFill patternType="solid">
          <bgColor rgb="FF00B0F0"/>
        </patternFill>
      </fill>
    </dxf>
  </rfmt>
  <rfmt sheetId="6" sqref="E8">
    <dxf>
      <fill>
        <patternFill patternType="solid">
          <bgColor rgb="FF00B0F0"/>
        </patternFill>
      </fill>
    </dxf>
  </rfmt>
  <rfmt sheetId="4" sqref="E7">
    <dxf>
      <fill>
        <patternFill patternType="solid">
          <bgColor rgb="FF00B0F0"/>
        </patternFill>
      </fill>
    </dxf>
  </rfmt>
  <rcc rId="3057" sId="3">
    <oc r="B9">
      <f>+'1-10'!R13</f>
    </oc>
    <nc r="B9">
      <f>+'1-10'!R12</f>
    </nc>
  </rcc>
  <rfmt sheetId="3" sqref="E9">
    <dxf>
      <fill>
        <patternFill patternType="solid">
          <bgColor rgb="FF00B0F0"/>
        </patternFill>
      </fill>
    </dxf>
  </rfmt>
  <rfmt sheetId="7" sqref="E9">
    <dxf>
      <fill>
        <patternFill patternType="solid">
          <bgColor rgb="FF00B0F0"/>
        </patternFill>
      </fill>
    </dxf>
  </rfmt>
  <rfmt sheetId="2" sqref="E10">
    <dxf>
      <fill>
        <patternFill patternType="solid">
          <bgColor rgb="FF00B0F0"/>
        </patternFill>
      </fill>
    </dxf>
  </rfmt>
  <rfmt sheetId="3" sqref="E9">
    <dxf>
      <fill>
        <patternFill>
          <bgColor theme="0"/>
        </patternFill>
      </fill>
    </dxf>
  </rfmt>
  <rcc rId="3058" sId="2">
    <oc r="C10">
      <v>624</v>
    </oc>
    <nc r="C10">
      <v>611</v>
    </nc>
  </rcc>
  <rfmt sheetId="1" sqref="E22">
    <dxf>
      <fill>
        <patternFill patternType="solid">
          <bgColor rgb="FF00B0F0"/>
        </patternFill>
      </fill>
    </dxf>
  </rfmt>
  <rfmt sheetId="3" sqref="E10">
    <dxf>
      <fill>
        <patternFill patternType="solid">
          <bgColor rgb="FF00B0F0"/>
        </patternFill>
      </fill>
    </dxf>
  </rfmt>
  <rfmt sheetId="6" sqref="E60">
    <dxf>
      <fill>
        <patternFill patternType="solid">
          <bgColor rgb="FF00B0F0"/>
        </patternFill>
      </fill>
    </dxf>
  </rfmt>
  <rfmt sheetId="6" sqref="E59">
    <dxf>
      <fill>
        <patternFill patternType="solid">
          <bgColor rgb="FF00B0F0"/>
        </patternFill>
      </fill>
    </dxf>
  </rfmt>
</revisions>
</file>

<file path=xl/revisions/revisionLog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5" sqref="E13">
    <dxf>
      <fill>
        <patternFill patternType="solid">
          <bgColor rgb="FF00B0F0"/>
        </patternFill>
      </fill>
    </dxf>
  </rfmt>
  <rfmt sheetId="4" sqref="E20">
    <dxf>
      <fill>
        <patternFill patternType="solid">
          <bgColor rgb="FF00B0F0"/>
        </patternFill>
      </fill>
    </dxf>
  </rfmt>
  <rfmt sheetId="6" sqref="E27">
    <dxf>
      <fill>
        <patternFill patternType="solid">
          <bgColor rgb="FF00B0F0"/>
        </patternFill>
      </fill>
    </dxf>
  </rfmt>
  <rfmt sheetId="5" sqref="E17">
    <dxf>
      <fill>
        <patternFill patternType="solid">
          <bgColor rgb="FF00B0F0"/>
        </patternFill>
      </fill>
    </dxf>
  </rfmt>
</revisions>
</file>

<file path=xl/revisions/revisionLog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6" sqref="E40">
    <dxf>
      <fill>
        <patternFill patternType="solid">
          <bgColor rgb="FF00B0F0"/>
        </patternFill>
      </fill>
    </dxf>
  </rfmt>
  <rfmt sheetId="5" sqref="E14">
    <dxf>
      <fill>
        <patternFill patternType="solid">
          <bgColor rgb="FF00B0F0"/>
        </patternFill>
      </fill>
    </dxf>
  </rfmt>
</revisions>
</file>

<file path=xl/revisions/revisionLog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4" sqref="E91">
    <dxf>
      <fill>
        <patternFill patternType="solid">
          <bgColor rgb="FF00B0F0"/>
        </patternFill>
      </fill>
    </dxf>
  </rfmt>
  <rfmt sheetId="4" sqref="E89">
    <dxf>
      <fill>
        <patternFill patternType="solid">
          <bgColor rgb="FF00B0F0"/>
        </patternFill>
      </fill>
    </dxf>
  </rfmt>
  <rfmt sheetId="6" sqref="E22">
    <dxf>
      <fill>
        <patternFill patternType="solid">
          <bgColor rgb="FF00B0F0"/>
        </patternFill>
      </fill>
    </dxf>
  </rfmt>
  <rfmt sheetId="6" sqref="E21">
    <dxf>
      <fill>
        <patternFill patternType="solid">
          <bgColor rgb="FF00B0F0"/>
        </patternFill>
      </fill>
    </dxf>
  </rfmt>
</revisions>
</file>

<file path=xl/revisions/revisionLog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5" sqref="E73">
    <dxf>
      <fill>
        <patternFill patternType="solid">
          <bgColor rgb="FF00B0F0"/>
        </patternFill>
      </fill>
    </dxf>
  </rfmt>
  <rfmt sheetId="6" sqref="E20">
    <dxf>
      <fill>
        <patternFill patternType="solid">
          <bgColor rgb="FF00B0F0"/>
        </patternFill>
      </fill>
    </dxf>
  </rfmt>
  <rfmt sheetId="4" sqref="E90">
    <dxf>
      <fill>
        <patternFill patternType="solid">
          <bgColor rgb="FF00B0F0"/>
        </patternFill>
      </fill>
    </dxf>
  </rfmt>
  <rfmt sheetId="4" sqref="E14">
    <dxf>
      <fill>
        <patternFill patternType="solid">
          <bgColor rgb="FF00B0F0"/>
        </patternFill>
      </fill>
    </dxf>
  </rfmt>
  <rfmt sheetId="4" sqref="E13">
    <dxf>
      <fill>
        <patternFill patternType="solid">
          <bgColor rgb="FF00B0F0"/>
        </patternFill>
      </fill>
    </dxf>
  </rfmt>
  <rfmt sheetId="4" sqref="E21">
    <dxf>
      <fill>
        <patternFill patternType="solid">
          <bgColor rgb="FF00B0F0"/>
        </patternFill>
      </fill>
    </dxf>
  </rfmt>
</revisions>
</file>

<file path=xl/revisions/revisionLog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7" sqref="E29">
    <dxf>
      <fill>
        <patternFill patternType="solid">
          <bgColor rgb="FF00B0F0"/>
        </patternFill>
      </fill>
    </dxf>
  </rfmt>
  <rfmt sheetId="6" sqref="E29">
    <dxf>
      <fill>
        <patternFill patternType="solid">
          <bgColor rgb="FF00B0F0"/>
        </patternFill>
      </fill>
    </dxf>
  </rfmt>
  <rfmt sheetId="6" sqref="E30">
    <dxf>
      <fill>
        <patternFill patternType="solid">
          <bgColor rgb="FF00B0F0"/>
        </patternFill>
      </fill>
    </dxf>
  </rfmt>
  <rfmt sheetId="6" sqref="E46">
    <dxf>
      <fill>
        <patternFill patternType="solid">
          <bgColor rgb="FF00B0F0"/>
        </patternFill>
      </fill>
    </dxf>
  </rfmt>
  <rfmt sheetId="5" sqref="E80">
    <dxf>
      <fill>
        <patternFill patternType="solid">
          <bgColor rgb="FF00B0F0"/>
        </patternFill>
      </fill>
    </dxf>
  </rfmt>
  <rfmt sheetId="5" sqref="E19">
    <dxf>
      <fill>
        <patternFill patternType="solid">
          <bgColor rgb="FF00B0F0"/>
        </patternFill>
      </fill>
    </dxf>
  </rfmt>
  <rfmt sheetId="5" sqref="E15">
    <dxf>
      <fill>
        <patternFill patternType="solid">
          <bgColor rgb="FF00B0F0"/>
        </patternFill>
      </fill>
    </dxf>
  </rfmt>
  <rfmt sheetId="6" sqref="E47">
    <dxf>
      <fill>
        <patternFill patternType="solid">
          <bgColor rgb="FF00B0F0"/>
        </patternFill>
      </fill>
    </dxf>
  </rfmt>
</revisions>
</file>

<file path=xl/revisions/revisionLog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7" sqref="E34">
    <dxf>
      <fill>
        <patternFill patternType="solid">
          <bgColor rgb="FF00B0F0"/>
        </patternFill>
      </fill>
    </dxf>
  </rfmt>
  <rfmt sheetId="5" sqref="E20">
    <dxf>
      <fill>
        <patternFill patternType="solid">
          <bgColor rgb="FF00B0F0"/>
        </patternFill>
      </fill>
    </dxf>
  </rfmt>
</revisions>
</file>

<file path=xl/revisions/revisionLog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6" sqref="E71">
    <dxf>
      <fill>
        <patternFill patternType="solid">
          <bgColor rgb="FF00B0F0"/>
        </patternFill>
      </fill>
    </dxf>
  </rfmt>
  <rfmt sheetId="5" sqref="E74">
    <dxf>
      <fill>
        <patternFill patternType="solid">
          <bgColor rgb="FF00B0F0"/>
        </patternFill>
      </fill>
    </dxf>
  </rfmt>
  <rfmt sheetId="5" sqref="E67">
    <dxf>
      <fill>
        <patternFill patternType="solid">
          <bgColor rgb="FF00B0F0"/>
        </patternFill>
      </fill>
    </dxf>
  </rfmt>
  <rfmt sheetId="5" sqref="E66">
    <dxf>
      <fill>
        <patternFill patternType="solid">
          <bgColor rgb="FF00B0F0"/>
        </patternFill>
      </fill>
    </dxf>
  </rfmt>
</revisions>
</file>

<file path=xl/revisions/revisionLog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6" sqref="E79">
    <dxf>
      <fill>
        <patternFill patternType="solid">
          <bgColor rgb="FF00B0F0"/>
        </patternFill>
      </fill>
    </dxf>
  </rfmt>
  <rfmt sheetId="6" sqref="E77">
    <dxf>
      <fill>
        <patternFill patternType="solid">
          <bgColor rgb="FF00B0F0"/>
        </patternFill>
      </fill>
    </dxf>
  </rfmt>
  <rfmt sheetId="6" sqref="E80">
    <dxf>
      <fill>
        <patternFill patternType="solid">
          <bgColor rgb="FF00B0F0"/>
        </patternFill>
      </fill>
    </dxf>
  </rfmt>
  <rfmt sheetId="7" sqref="E39">
    <dxf>
      <fill>
        <patternFill patternType="solid">
          <bgColor rgb="FF00B0F0"/>
        </patternFill>
      </fill>
    </dxf>
  </rfmt>
  <rfmt sheetId="6" sqref="E35">
    <dxf>
      <fill>
        <patternFill patternType="solid">
          <bgColor rgb="FF00B0F0"/>
        </patternFill>
      </fill>
    </dxf>
  </rfmt>
  <rfmt sheetId="6" sqref="E28">
    <dxf>
      <fill>
        <patternFill patternType="solid">
          <bgColor rgb="FF00B0F0"/>
        </patternFill>
      </fill>
    </dxf>
  </rfmt>
  <rfmt sheetId="5" sqref="E22">
    <dxf>
      <fill>
        <patternFill patternType="solid">
          <bgColor rgb="FF00B0F0"/>
        </patternFill>
      </fill>
    </dxf>
  </rfmt>
  <rfmt sheetId="5" sqref="E18">
    <dxf>
      <fill>
        <patternFill patternType="solid">
          <bgColor rgb="FF00B0F0"/>
        </patternFill>
      </fill>
    </dxf>
  </rfmt>
  <rfmt sheetId="4" sqref="E96">
    <dxf>
      <fill>
        <patternFill patternType="solid">
          <bgColor rgb="FF00B0F0"/>
        </patternFill>
      </fill>
    </dxf>
  </rfmt>
</revisions>
</file>

<file path=xl/revisions/revisionLog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7" sqref="E44">
    <dxf>
      <fill>
        <patternFill patternType="solid">
          <bgColor rgb="FF00B0F0"/>
        </patternFill>
      </fill>
    </dxf>
  </rfmt>
  <rfmt sheetId="5" sqref="E21">
    <dxf>
      <fill>
        <patternFill patternType="solid">
          <bgColor rgb="FF00B0F0"/>
        </patternFill>
      </fill>
    </dxf>
  </rfmt>
  <rfmt sheetId="6" sqref="E72">
    <dxf>
      <fill>
        <patternFill patternType="solid">
          <bgColor rgb="FF00B0F0"/>
        </patternFill>
      </fill>
    </dxf>
  </rfmt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5" sqref="A73:C73">
    <dxf>
      <fill>
        <patternFill patternType="solid">
          <bgColor rgb="FFFFFF00"/>
        </patternFill>
      </fill>
    </dxf>
  </rfmt>
  <rfmt sheetId="5" sqref="A74:C74">
    <dxf>
      <fill>
        <patternFill patternType="solid">
          <bgColor rgb="FFFFFF00"/>
        </patternFill>
      </fill>
    </dxf>
  </rfmt>
  <rfmt sheetId="5" sqref="A7:C7">
    <dxf>
      <fill>
        <patternFill patternType="solid">
          <bgColor rgb="FFFFFF00"/>
        </patternFill>
      </fill>
    </dxf>
  </rfmt>
  <rfmt sheetId="5" sqref="A14:C14">
    <dxf>
      <fill>
        <patternFill patternType="solid">
          <bgColor rgb="FFFFFF00"/>
        </patternFill>
      </fill>
    </dxf>
  </rfmt>
  <rfmt sheetId="5" sqref="A15:C15">
    <dxf>
      <fill>
        <patternFill patternType="solid">
          <bgColor rgb="FFFFFF00"/>
        </patternFill>
      </fill>
    </dxf>
  </rfmt>
  <rfmt sheetId="5" sqref="A47:C47">
    <dxf>
      <fill>
        <patternFill patternType="solid">
          <bgColor rgb="FFFFFF00"/>
        </patternFill>
      </fill>
    </dxf>
  </rfmt>
  <rfmt sheetId="5" sqref="A80:C80">
    <dxf>
      <fill>
        <patternFill patternType="solid">
          <bgColor rgb="FFFFFF00"/>
        </patternFill>
      </fill>
    </dxf>
  </rfmt>
  <rfmt sheetId="5" sqref="A13:C13">
    <dxf>
      <fill>
        <patternFill patternType="solid">
          <bgColor rgb="FFFFFF00"/>
        </patternFill>
      </fill>
    </dxf>
  </rfmt>
  <rfmt sheetId="5" sqref="A32:C32">
    <dxf>
      <fill>
        <patternFill patternType="solid">
          <bgColor rgb="FFFFFF00"/>
        </patternFill>
      </fill>
    </dxf>
  </rfmt>
  <rfmt sheetId="5" sqref="A39:C39">
    <dxf>
      <fill>
        <patternFill patternType="solid">
          <bgColor rgb="FFFFFF00"/>
        </patternFill>
      </fill>
    </dxf>
  </rfmt>
  <rfmt sheetId="5" sqref="A31:C31">
    <dxf>
      <fill>
        <patternFill patternType="solid">
          <bgColor rgb="FFFFFF00"/>
        </patternFill>
      </fill>
    </dxf>
  </rfmt>
  <rfmt sheetId="5" sqref="A40:C40">
    <dxf>
      <fill>
        <patternFill patternType="solid">
          <bgColor rgb="FFFFFF00"/>
        </patternFill>
      </fill>
    </dxf>
  </rfmt>
  <rfmt sheetId="5" sqref="A19:C19">
    <dxf>
      <fill>
        <patternFill patternType="solid">
          <bgColor rgb="FFFFFF00"/>
        </patternFill>
      </fill>
    </dxf>
  </rfmt>
  <rfmt sheetId="5" sqref="A18:C18">
    <dxf>
      <fill>
        <patternFill patternType="solid">
          <bgColor rgb="FFFFFF00"/>
        </patternFill>
      </fill>
    </dxf>
  </rfmt>
  <rfmt sheetId="5" sqref="A20:C20">
    <dxf>
      <fill>
        <patternFill patternType="solid">
          <bgColor rgb="FFFFFF00"/>
        </patternFill>
      </fill>
    </dxf>
  </rfmt>
  <rfmt sheetId="5" sqref="A66:C66">
    <dxf>
      <fill>
        <patternFill patternType="solid">
          <bgColor rgb="FFFFFF00"/>
        </patternFill>
      </fill>
    </dxf>
  </rfmt>
  <rfmt sheetId="5" sqref="A67:C67">
    <dxf>
      <fill>
        <patternFill patternType="solid">
          <bgColor rgb="FFFFFF00"/>
        </patternFill>
      </fill>
    </dxf>
  </rfmt>
  <rfmt sheetId="5" sqref="A21:C21">
    <dxf>
      <fill>
        <patternFill patternType="solid">
          <bgColor rgb="FFFFFF00"/>
        </patternFill>
      </fill>
    </dxf>
  </rfmt>
  <rfmt sheetId="5" sqref="A22:C22">
    <dxf>
      <fill>
        <patternFill patternType="solid">
          <bgColor rgb="FFFFFF00"/>
        </patternFill>
      </fill>
    </dxf>
  </rfmt>
  <rfmt sheetId="6" sqref="A40:C40">
    <dxf>
      <fill>
        <patternFill patternType="solid">
          <bgColor rgb="FFFFFF00"/>
        </patternFill>
      </fill>
    </dxf>
  </rfmt>
  <rfmt sheetId="6" sqref="A20:C20">
    <dxf>
      <fill>
        <patternFill patternType="solid">
          <bgColor rgb="FFFFFF00"/>
        </patternFill>
      </fill>
    </dxf>
  </rfmt>
  <rfmt sheetId="6" sqref="A14:C14">
    <dxf>
      <fill>
        <patternFill patternType="solid">
          <bgColor rgb="FFFFFF00"/>
        </patternFill>
      </fill>
    </dxf>
  </rfmt>
  <rfmt sheetId="6" sqref="A13:C13">
    <dxf>
      <fill>
        <patternFill patternType="solid">
          <bgColor rgb="FFFFFF00"/>
        </patternFill>
      </fill>
    </dxf>
  </rfmt>
  <rfmt sheetId="7" sqref="A13:C13">
    <dxf>
      <fill>
        <patternFill patternType="solid">
          <bgColor rgb="FFFFFF00"/>
        </patternFill>
      </fill>
    </dxf>
  </rfmt>
  <rfmt sheetId="7" sqref="D13:E13" start="0" length="2147483647">
    <dxf>
      <font>
        <color rgb="FFFF0000"/>
      </font>
    </dxf>
  </rfmt>
  <rfmt sheetId="7" sqref="D13:E13">
    <dxf>
      <fill>
        <patternFill patternType="solid">
          <bgColor rgb="FFFF0000"/>
        </patternFill>
      </fill>
    </dxf>
  </rfmt>
  <rfmt sheetId="7" sqref="D13:E13">
    <dxf>
      <fill>
        <patternFill>
          <bgColor rgb="FFFFC000"/>
        </patternFill>
      </fill>
    </dxf>
  </rfmt>
  <rcc rId="2769" sId="7">
    <nc r="L13" t="inlineStr">
      <is>
        <t>Roads</t>
      </is>
    </nc>
  </rcc>
  <rfmt sheetId="7" sqref="L13">
    <dxf>
      <fill>
        <patternFill patternType="solid">
          <bgColor rgb="FFFF0000"/>
        </patternFill>
      </fill>
    </dxf>
  </rfmt>
  <rfmt sheetId="7" sqref="L13">
    <dxf>
      <fill>
        <patternFill>
          <bgColor rgb="FFFFFF00"/>
        </patternFill>
      </fill>
    </dxf>
  </rfmt>
</revisions>
</file>

<file path=xl/revisions/revisionLog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4" sqref="E27">
    <dxf>
      <fill>
        <patternFill patternType="solid">
          <bgColor rgb="FF00B0F0"/>
        </patternFill>
      </fill>
    </dxf>
  </rfmt>
  <rfmt sheetId="1" sqref="E34">
    <dxf>
      <fill>
        <patternFill patternType="solid">
          <bgColor rgb="FF00B0F0"/>
        </patternFill>
      </fill>
    </dxf>
  </rfmt>
  <rfmt sheetId="1" sqref="E16">
    <dxf>
      <fill>
        <patternFill patternType="solid">
          <bgColor rgb="FF00B0F0"/>
        </patternFill>
      </fill>
    </dxf>
  </rfmt>
  <rfmt sheetId="5" sqref="E42">
    <dxf>
      <fill>
        <patternFill patternType="solid">
          <bgColor rgb="FF00B0F0"/>
        </patternFill>
      </fill>
    </dxf>
  </rfmt>
  <rfmt sheetId="5" sqref="E43">
    <dxf>
      <fill>
        <patternFill patternType="solid">
          <bgColor rgb="FF00B0F0"/>
        </patternFill>
      </fill>
    </dxf>
  </rfmt>
  <rfmt sheetId="5" sqref="E45">
    <dxf>
      <fill>
        <patternFill patternType="solid">
          <bgColor rgb="FF00B0F0"/>
        </patternFill>
      </fill>
    </dxf>
  </rfmt>
  <rfmt sheetId="5" sqref="E46">
    <dxf>
      <fill>
        <patternFill patternType="solid">
          <bgColor rgb="FF00B0F0"/>
        </patternFill>
      </fill>
    </dxf>
  </rfmt>
  <rcc rId="3059" sId="5">
    <oc r="B33">
      <f>+'1-10'!R33</f>
    </oc>
    <nc r="B33" t="inlineStr">
      <is>
        <t>FDW 321 L</t>
      </is>
    </nc>
  </rcc>
  <rcc rId="3060" sId="5">
    <oc r="B34">
      <f>+'1-10'!R34</f>
    </oc>
    <nc r="B34" t="inlineStr">
      <is>
        <t>FDW 326 L</t>
      </is>
    </nc>
  </rcc>
  <rcc rId="3061" sId="5">
    <oc r="C33" t="inlineStr">
      <is>
        <t>632</t>
      </is>
    </oc>
    <nc r="C33"/>
  </rcc>
  <rcc rId="3062" sId="5">
    <oc r="C34" t="inlineStr">
      <is>
        <t>633</t>
      </is>
    </oc>
    <nc r="C34"/>
  </rcc>
  <rcc rId="3063" sId="5">
    <oc r="B35">
      <f>+'1-10'!R35</f>
    </oc>
    <nc r="B35" t="inlineStr">
      <is>
        <t>FDW 448 L</t>
      </is>
    </nc>
  </rcc>
  <rcc rId="3064" sId="5">
    <oc r="B36">
      <f>+'1-10'!R36</f>
    </oc>
    <nc r="B36" t="inlineStr">
      <is>
        <t>FDX 372 L</t>
      </is>
    </nc>
  </rcc>
  <rcc rId="3065" sId="5">
    <oc r="C35" t="inlineStr">
      <is>
        <t>634</t>
      </is>
    </oc>
    <nc r="C35"/>
  </rcc>
  <rcc rId="3066" sId="5">
    <oc r="C36" t="inlineStr">
      <is>
        <t>635</t>
      </is>
    </oc>
    <nc r="C36"/>
  </rcc>
</revisions>
</file>

<file path=xl/revisions/revisionLog6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3067" sId="6" ref="A55:XFD55" action="insertRow">
    <undo index="65535" exp="area" ref3D="1" dr="$A$140:$XFD$140" dn="Z_DF69299D_7752_4436_A45D_28F739CEE21B_.wvu.Rows" sId="6"/>
    <undo index="65535" exp="area" ref3D="1" dr="$A$140:$XFD$140" dn="Z_6C0BD6A7_6718_429D_82D9_D2FE0341EA2C_.wvu.Rows" sId="6"/>
    <undo index="65535" exp="area" ref3D="1" dr="$A$140:$XFD$140" dn="Z_594C4AB0_8D5F_4373_9663_410F4413FE3A_.wvu.Rows" sId="6"/>
    <undo index="65535" exp="area" ref3D="1" dr="$P$1:$P$1048576" dn="Z_DF69299D_7752_4436_A45D_28F739CEE21B_.wvu.Cols" sId="6"/>
  </rrc>
  <rcc rId="3068" sId="6">
    <nc r="A55" t="inlineStr">
      <is>
        <t>BELL Motor Grader</t>
      </is>
    </nc>
  </rcc>
  <rcc rId="3069" sId="6">
    <nc r="B55" t="inlineStr">
      <is>
        <t>FNP 871 L</t>
      </is>
    </nc>
  </rcc>
</revisions>
</file>

<file path=xl/revisions/revisionLog6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6" s="1" sqref="H55" start="0" length="0">
    <dxf>
      <numFmt numFmtId="167" formatCode="#,##0;[Red]#,##0"/>
      <alignment horizontal="center"/>
    </dxf>
  </rfmt>
  <rfmt sheetId="6" sqref="I55" start="0" length="0">
    <dxf>
      <fill>
        <patternFill>
          <bgColor rgb="FF00B0F0"/>
        </patternFill>
      </fill>
    </dxf>
  </rfmt>
  <rfmt sheetId="6" sqref="M55" start="0" length="0">
    <dxf>
      <fill>
        <patternFill patternType="solid">
          <bgColor rgb="FFFF0000"/>
        </patternFill>
      </fill>
    </dxf>
  </rfmt>
  <rfmt sheetId="6" sqref="N55" start="0" length="0">
    <dxf>
      <font>
        <b val="0"/>
        <sz val="8"/>
        <name val="Consolas"/>
        <family val="3"/>
      </font>
    </dxf>
  </rfmt>
  <rfmt sheetId="6" sqref="P55" start="0" length="0">
    <dxf>
      <border outline="0">
        <right style="thin">
          <color indexed="64"/>
        </right>
      </border>
    </dxf>
  </rfmt>
  <rcc rId="3070" sId="6" odxf="1" dxf="1">
    <nc r="Q55">
      <f>SUM(I55:P55)</f>
    </nc>
    <odxf>
      <alignment horizontal="center" vertical="top"/>
      <border outline="0">
        <left/>
        <right/>
        <top/>
        <bottom/>
      </border>
    </odxf>
    <ndxf>
      <alignment horizontal="general"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71" sId="6" odxf="1" s="1" dxf="1">
    <nc r="R55">
      <f>Q55/CALC!$A$8*CALC!$A$6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onsolas"/>
        <family val="3"/>
        <scheme val="none"/>
      </font>
      <numFmt numFmtId="0" formatCode="General"/>
    </odxf>
    <ndxf>
      <font>
        <b/>
        <sz val="8"/>
        <color auto="1"/>
        <name val="Consolas"/>
        <family val="3"/>
        <scheme val="none"/>
      </font>
      <numFmt numFmtId="35" formatCode="_(* #,##0.00_);_(* \(#,##0.00\);_(* &quot;-&quot;??_);_(@_)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72" sId="6" odxf="1" s="1" dxf="1">
    <nc r="S55">
      <f>+Q55+R55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onsolas"/>
        <family val="3"/>
        <scheme val="none"/>
      </font>
      <numFmt numFmtId="0" formatCode="General"/>
    </odxf>
    <ndxf>
      <numFmt numFmtId="35" formatCode="_(* #,##0.00_);_(* \(#,##0.00\);_(* &quot;-&quot;??_);_(@_)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73" sId="6" numFmtId="4">
    <nc r="D55">
      <v>1500</v>
    </nc>
  </rcc>
  <rcc rId="3074" sId="6">
    <nc r="E55">
      <f>+D55/P55*(CALC!$A$4)</f>
    </nc>
  </rcc>
  <rcc rId="3075" sId="6" numFmtId="34">
    <nc r="F55">
      <v>23400</v>
    </nc>
  </rcc>
  <rcc rId="3076" sId="6">
    <nc r="G55">
      <f>33000*(1+CALC!$A$2)</f>
    </nc>
  </rcc>
  <rcc rId="3077" sId="6" odxf="1" s="1" dxf="1" numFmtId="34">
    <nc r="H55">
      <f>630000</f>
    </nc>
    <ndxf>
      <numFmt numFmtId="35" formatCode="_(* #,##0.00_);_(* \(#,##0.00\);_(* &quot;-&quot;??_);_(@_)"/>
      <alignment horizontal="general"/>
    </ndxf>
  </rcc>
  <rcc rId="3078" sId="6" odxf="1" dxf="1">
    <nc r="I55">
      <f>0.75*358758.05</f>
    </nc>
    <ndxf>
      <fill>
        <patternFill>
          <bgColor rgb="FFFF0000"/>
        </patternFill>
      </fill>
    </ndxf>
  </rcc>
  <rcc rId="3079" sId="6" numFmtId="34">
    <nc r="J55">
      <v>0</v>
    </nc>
  </rcc>
  <rcc rId="3080" sId="6" numFmtId="34">
    <nc r="K55">
      <v>240</v>
    </nc>
  </rcc>
  <rcc rId="3081" sId="6" odxf="1" dxf="1">
    <nc r="M55">
      <f>SUM(E55:L55)</f>
    </nc>
    <ndxf>
      <fill>
        <patternFill patternType="none">
          <bgColor indexed="65"/>
        </patternFill>
      </fill>
    </ndxf>
  </rcc>
  <rcc rId="3082" sId="6" odxf="1" dxf="1" numFmtId="34">
    <nc r="N55">
      <f>M55/CALC!$A$8*CALC!$A$6</f>
    </nc>
    <ndxf>
      <font>
        <b/>
        <sz val="8"/>
        <name val="Consolas"/>
        <family val="3"/>
      </font>
    </ndxf>
  </rcc>
  <rcc rId="3083" sId="6" numFmtId="34">
    <nc r="O55">
      <f>+M55+N55</f>
    </nc>
  </rcc>
  <rcc rId="3084" sId="6" numFmtId="34">
    <nc r="P55">
      <v>0.7</v>
    </nc>
  </rcc>
  <rcv guid="{DF69299D-7752-4436-A45D-28F739CEE21B}" action="delete"/>
  <rdn rId="0" localSheetId="1" customView="1" name="Z_DF69299D_7752_4436_A45D_28F739CEE21B_.wvu.PrintArea" hidden="1" oldHidden="1">
    <formula>mayor!$A$1:$Q$42</formula>
    <oldFormula>mayor!$A$1:$Q$42</oldFormula>
  </rdn>
  <rdn rId="0" localSheetId="1" customView="1" name="Z_DF69299D_7752_4436_A45D_28F739CEE21B_.wvu.Cols" hidden="1" oldHidden="1">
    <formula>mayor!$P:$P</formula>
    <oldFormula>mayor!$P:$P</oldFormula>
  </rdn>
  <rdn rId="0" localSheetId="1" customView="1" name="Z_DF69299D_7752_4436_A45D_28F739CEE21B_.wvu.FilterData" hidden="1" oldHidden="1">
    <formula>mayor!$A$16:$C$16</formula>
    <oldFormula>mayor!$A$16:$C$16</oldFormula>
  </rdn>
  <rdn rId="0" localSheetId="2" customView="1" name="Z_DF69299D_7752_4436_A45D_28F739CEE21B_.wvu.PrintArea" hidden="1" oldHidden="1">
    <formula>income!$A$1:$Q$16</formula>
    <oldFormula>income!$A$1:$Q$16</oldFormula>
  </rdn>
  <rdn rId="0" localSheetId="2" customView="1" name="Z_DF69299D_7752_4436_A45D_28F739CEE21B_.wvu.Cols" hidden="1" oldHidden="1">
    <formula>income!$P:$P</formula>
    <oldFormula>income!$P:$P</oldFormula>
  </rdn>
  <rdn rId="0" localSheetId="3" customView="1" name="Z_DF69299D_7752_4436_A45D_28F739CEE21B_.wvu.PrintArea" hidden="1" oldHidden="1">
    <formula>workshop!$A$1:$Q$20</formula>
    <oldFormula>workshop!$A$1:$Q$20</oldFormula>
  </rdn>
  <rdn rId="0" localSheetId="3" customView="1" name="Z_DF69299D_7752_4436_A45D_28F739CEE21B_.wvu.Cols" hidden="1" oldHidden="1">
    <formula>workshop!$J:$J,workshop!$P:$P</formula>
    <oldFormula>workshop!$J:$J,workshop!$P:$P</oldFormula>
  </rdn>
  <rdn rId="0" localSheetId="4" customView="1" name="Z_DF69299D_7752_4436_A45D_28F739CEE21B_.wvu.PrintArea" hidden="1" oldHidden="1">
    <formula>'COMMUNITY SERV'!$A$1:$Q$102</formula>
    <oldFormula>'COMMUNITY SERV'!$A$1:$Q$102</oldFormula>
  </rdn>
  <rdn rId="0" localSheetId="5" customView="1" name="Z_DF69299D_7752_4436_A45D_28F739CEE21B_.wvu.PrintArea" hidden="1" oldHidden="1">
    <formula>EEM!$A$1:$Q$97</formula>
    <oldFormula>EEM!$A$1:$Q$97</oldFormula>
  </rdn>
  <rdn rId="0" localSheetId="6" customView="1" name="Z_DF69299D_7752_4436_A45D_28F739CEE21B_.wvu.PrintArea" hidden="1" oldHidden="1">
    <formula>CEM!$A$1:$Q$146</formula>
    <oldFormula>CEM!$A$1:$Q$146</oldFormula>
  </rdn>
  <rdn rId="0" localSheetId="6" customView="1" name="Z_DF69299D_7752_4436_A45D_28F739CEE21B_.wvu.Rows" hidden="1" oldHidden="1">
    <formula>CEM!$141:$141</formula>
    <oldFormula>CEM!$141:$141</oldFormula>
  </rdn>
  <rdn rId="0" localSheetId="6" customView="1" name="Z_DF69299D_7752_4436_A45D_28F739CEE21B_.wvu.Cols" hidden="1" oldHidden="1">
    <formula>CEM!$P:$P</formula>
    <oldFormula>CEM!$P:$P</oldFormula>
  </rdn>
  <rdn rId="0" localSheetId="7" customView="1" name="Z_DF69299D_7752_4436_A45D_28F739CEE21B_.wvu.PrintArea" hidden="1" oldHidden="1">
    <formula>MDC!$A$1:$Q$90</formula>
    <oldFormula>MDC!$A$1:$Q$90</oldFormula>
  </rdn>
  <rdn rId="0" localSheetId="7" customView="1" name="Z_DF69299D_7752_4436_A45D_28F739CEE21B_.wvu.Rows" hidden="1" oldHidden="1">
    <formula>MDC!$67:$73</formula>
    <oldFormula>MDC!$67:$73</oldFormula>
  </rdn>
  <rdn rId="0" localSheetId="7" customView="1" name="Z_DF69299D_7752_4436_A45D_28F739CEE21B_.wvu.Cols" hidden="1" oldHidden="1">
    <formula>MDC!$J:$J,MDC!$P:$P</formula>
    <oldFormula>MDC!$J:$J,MDC!$P:$P</oldFormula>
  </rdn>
  <rdn rId="0" localSheetId="8" customView="1" name="Z_DF69299D_7752_4436_A45D_28F739CEE21B_.wvu.PrintArea" hidden="1" oldHidden="1">
    <formula>BUDGET!$A$1:$B$76</formula>
    <oldFormula>BUDGET!$A$1:$B$76</oldFormula>
  </rdn>
  <rdn rId="0" localSheetId="8" customView="1" name="Z_DF69299D_7752_4436_A45D_28F739CEE21B_.wvu.Rows" hidden="1" oldHidden="1">
    <formula>BUDGET!$3:$7,BUDGET!$9:$9,BUDGET!$11:$11,BUDGET!$13:$16,BUDGET!$18:$21,BUDGET!$23:$23,BUDGET!$25:$28,BUDGET!$30:$36,BUDGET!$38:$38,BUDGET!$40:$40,BUDGET!$42:$47,BUDGET!$49:$49,BUDGET!$51:$54,BUDGET!$56:$59,BUDGET!$61:$66,BUDGET!$68:$68,BUDGET!$70:$70</formula>
    <oldFormula>BUDGET!$3:$7,BUDGET!$9:$9,BUDGET!$11:$11,BUDGET!$13:$16,BUDGET!$18:$21,BUDGET!$23:$23,BUDGET!$25:$28,BUDGET!$30:$36,BUDGET!$38:$38,BUDGET!$40:$40,BUDGET!$42:$47,BUDGET!$49:$49,BUDGET!$51:$54,BUDGET!$56:$59,BUDGET!$61:$66,BUDGET!$68:$68,BUDGET!$70:$70</oldFormula>
  </rdn>
  <rdn rId="0" localSheetId="8" customView="1" name="Z_DF69299D_7752_4436_A45D_28F739CEE21B_.wvu.Cols" hidden="1" oldHidden="1">
    <formula>BUDGET!$C:$S</formula>
    <oldFormula>BUDGET!$C:$S</oldFormula>
  </rdn>
  <rdn rId="0" localSheetId="10" customView="1" name="Z_DF69299D_7752_4436_A45D_28F739CEE21B_.wvu.FilterData" hidden="1" oldHidden="1">
    <formula>orig!$A$1:$AN$198</formula>
    <oldFormula>orig!$A$1:$AN$198</oldFormula>
  </rdn>
  <rdn rId="0" localSheetId="11" customView="1" name="Z_DF69299D_7752_4436_A45D_28F739CEE21B_.wvu.Cols" hidden="1" oldHidden="1">
    <formula>'1-10'!$B:$B</formula>
    <oldFormula>'1-10'!$B:$B</oldFormula>
  </rdn>
  <rdn rId="0" localSheetId="11" customView="1" name="Z_DF69299D_7752_4436_A45D_28F739CEE21B_.wvu.FilterData" hidden="1" oldHidden="1">
    <formula>'1-10'!$A$1:$AY$100</formula>
    <oldFormula>'1-10'!$A$1:$AY$100</oldFormula>
  </rdn>
  <rdn rId="0" localSheetId="12" customView="1" name="Z_DF69299D_7752_4436_A45D_28F739CEE21B_.wvu.Rows" hidden="1" oldHidden="1">
    <formula>'new veh 2012'!$96:$97</formula>
    <oldFormula>'new veh 2012'!$96:$97</oldFormula>
  </rdn>
  <rdn rId="0" localSheetId="12" customView="1" name="Z_DF69299D_7752_4436_A45D_28F739CEE21B_.wvu.FilterData" hidden="1" oldHidden="1">
    <formula>'new veh 2012'!$A$1:$J$95</formula>
    <oldFormula>'new veh 2012'!$A$1:$J$95</oldFormula>
  </rdn>
  <rdn rId="0" localSheetId="14" customView="1" name="Z_DF69299D_7752_4436_A45D_28F739CEE21B_.wvu.FilterData" hidden="1" oldHidden="1">
    <formula>stbk!$A$1:$G$199</formula>
    <oldFormula>stbk!$A$1:$G$199</oldFormula>
  </rdn>
  <rcv guid="{DF69299D-7752-4436-A45D-28F739CEE21B}" action="add"/>
</revisions>
</file>

<file path=xl/revisions/revisionLog6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5" sqref="F34">
    <dxf>
      <fill>
        <patternFill patternType="solid">
          <bgColor rgb="FF92D050"/>
        </patternFill>
      </fill>
    </dxf>
  </rfmt>
  <rfmt sheetId="5" sqref="F35">
    <dxf>
      <fill>
        <patternFill patternType="solid">
          <bgColor rgb="FF92D050"/>
        </patternFill>
      </fill>
    </dxf>
  </rfmt>
  <rfmt sheetId="5" sqref="F36">
    <dxf>
      <fill>
        <patternFill patternType="solid">
          <bgColor rgb="FF92D050"/>
        </patternFill>
      </fill>
    </dxf>
  </rfmt>
  <rfmt sheetId="5" sqref="F42">
    <dxf>
      <fill>
        <patternFill patternType="solid">
          <bgColor rgb="FF92D050"/>
        </patternFill>
      </fill>
    </dxf>
  </rfmt>
  <rfmt sheetId="5" sqref="F46">
    <dxf>
      <fill>
        <patternFill patternType="solid">
          <bgColor rgb="FF92D050"/>
        </patternFill>
      </fill>
    </dxf>
  </rfmt>
  <rfmt sheetId="5" sqref="F43">
    <dxf>
      <fill>
        <patternFill patternType="solid">
          <bgColor rgb="FF92D050"/>
        </patternFill>
      </fill>
    </dxf>
  </rfmt>
  <rfmt sheetId="5" sqref="F33">
    <dxf>
      <fill>
        <patternFill patternType="solid">
          <bgColor rgb="FF92D050"/>
        </patternFill>
      </fill>
    </dxf>
  </rfmt>
  <rcc rId="3109" sId="5" odxf="1" dxf="1" numFmtId="34">
    <oc r="F33">
      <v>0</v>
    </oc>
    <nc r="F33">
      <v>23400</v>
    </nc>
    <odxf>
      <font>
        <sz val="8"/>
        <color rgb="FFFF0000"/>
        <name val="Consolas"/>
        <family val="3"/>
      </font>
      <fill>
        <patternFill patternType="solid">
          <bgColor rgb="FF92D050"/>
        </patternFill>
      </fill>
    </odxf>
    <ndxf>
      <font>
        <sz val="8"/>
        <color rgb="FFFF0000"/>
        <name val="Consolas"/>
        <family val="3"/>
      </font>
      <fill>
        <patternFill patternType="none">
          <bgColor indexed="65"/>
        </patternFill>
      </fill>
    </ndxf>
  </rcc>
  <rcc rId="3110" sId="5" odxf="1" dxf="1" numFmtId="34">
    <oc r="F34">
      <v>0</v>
    </oc>
    <nc r="F34">
      <v>23400</v>
    </nc>
    <odxf>
      <font>
        <sz val="8"/>
        <color rgb="FFFF0000"/>
        <name val="Consolas"/>
        <family val="3"/>
      </font>
      <fill>
        <patternFill patternType="solid">
          <bgColor rgb="FF92D050"/>
        </patternFill>
      </fill>
    </odxf>
    <ndxf>
      <font>
        <sz val="8"/>
        <color rgb="FFFF0000"/>
        <name val="Consolas"/>
        <family val="3"/>
      </font>
      <fill>
        <patternFill patternType="none">
          <bgColor indexed="65"/>
        </patternFill>
      </fill>
    </ndxf>
  </rcc>
  <rcc rId="3111" sId="5" odxf="1" dxf="1" numFmtId="34">
    <oc r="F35">
      <v>0</v>
    </oc>
    <nc r="F35">
      <v>23400</v>
    </nc>
    <odxf>
      <fill>
        <patternFill patternType="solid">
          <bgColor rgb="FF92D050"/>
        </patternFill>
      </fill>
    </odxf>
    <ndxf>
      <fill>
        <patternFill patternType="none">
          <bgColor indexed="65"/>
        </patternFill>
      </fill>
    </ndxf>
  </rcc>
  <rcc rId="3112" sId="5" odxf="1" dxf="1" numFmtId="34">
    <oc r="F36">
      <v>0</v>
    </oc>
    <nc r="F36">
      <v>23400</v>
    </nc>
    <odxf>
      <font>
        <sz val="8"/>
        <color rgb="FFFF0000"/>
        <name val="Consolas"/>
        <family val="3"/>
      </font>
      <fill>
        <patternFill patternType="solid">
          <bgColor rgb="FF92D050"/>
        </patternFill>
      </fill>
    </odxf>
    <ndxf>
      <font>
        <sz val="8"/>
        <color rgb="FFFF0000"/>
        <name val="Consolas"/>
        <family val="3"/>
      </font>
      <fill>
        <patternFill patternType="none">
          <bgColor indexed="65"/>
        </patternFill>
      </fill>
    </ndxf>
  </rcc>
  <rfmt sheetId="5" sqref="F45">
    <dxf>
      <fill>
        <patternFill patternType="solid">
          <bgColor rgb="FF92D050"/>
        </patternFill>
      </fill>
    </dxf>
  </rfmt>
</revisions>
</file>

<file path=xl/revisions/revisionLog6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13" sId="5" numFmtId="34">
    <oc r="K33">
      <v>0</v>
    </oc>
    <nc r="K33">
      <v>1200</v>
    </nc>
  </rcc>
  <rcc rId="3114" sId="5" numFmtId="34">
    <oc r="K34">
      <v>0</v>
    </oc>
    <nc r="K34">
      <v>1200</v>
    </nc>
  </rcc>
  <rcc rId="3115" sId="5" numFmtId="34">
    <oc r="K35">
      <v>0</v>
    </oc>
    <nc r="K35">
      <v>1200</v>
    </nc>
  </rcc>
  <rcc rId="3116" sId="5" numFmtId="34">
    <oc r="K36">
      <v>0</v>
    </oc>
    <nc r="K36">
      <v>1200</v>
    </nc>
  </rcc>
  <rcc rId="3117" sId="5" numFmtId="34">
    <oc r="H33">
      <v>0</v>
    </oc>
    <nc r="H33">
      <v>10000</v>
    </nc>
  </rcc>
  <rcc rId="3118" sId="5" numFmtId="34">
    <oc r="H34">
      <v>0</v>
    </oc>
    <nc r="H34">
      <v>10000</v>
    </nc>
  </rcc>
  <rcc rId="3119" sId="5" odxf="1" dxf="1" numFmtId="34">
    <oc r="H35">
      <v>0</v>
    </oc>
    <nc r="H35">
      <v>10000</v>
    </nc>
    <odxf>
      <font>
        <sz val="8"/>
        <name val="Consolas"/>
        <family val="3"/>
      </font>
    </odxf>
    <ndxf>
      <font>
        <sz val="8"/>
        <color rgb="FFFF0000"/>
        <name val="Consolas"/>
        <family val="3"/>
      </font>
    </ndxf>
  </rcc>
  <rcc rId="3120" sId="5" numFmtId="34">
    <oc r="H36">
      <v>0</v>
    </oc>
    <nc r="H36">
      <v>10000</v>
    </nc>
  </rcc>
  <rcc rId="3121" sId="5" numFmtId="4">
    <oc r="D33">
      <v>0</v>
    </oc>
    <nc r="D33">
      <v>25000</v>
    </nc>
  </rcc>
  <rcc rId="3122" sId="5" odxf="1" dxf="1" numFmtId="4">
    <oc r="D34">
      <v>0</v>
    </oc>
    <nc r="D34">
      <v>25000</v>
    </nc>
    <odxf>
      <fill>
        <patternFill patternType="solid">
          <bgColor rgb="FFFFC000"/>
        </patternFill>
      </fill>
    </odxf>
    <ndxf>
      <fill>
        <patternFill patternType="none">
          <bgColor indexed="65"/>
        </patternFill>
      </fill>
    </ndxf>
  </rcc>
  <rcc rId="3123" sId="5" odxf="1" dxf="1" numFmtId="4">
    <oc r="D35">
      <v>0</v>
    </oc>
    <nc r="D35">
      <v>25000</v>
    </nc>
    <odxf>
      <font>
        <sz val="8"/>
        <name val="Consolas"/>
        <family val="3"/>
      </font>
      <fill>
        <patternFill patternType="solid">
          <bgColor rgb="FFFFC000"/>
        </patternFill>
      </fill>
    </odxf>
    <ndxf>
      <font>
        <sz val="8"/>
        <color rgb="FFFF0000"/>
        <name val="Consolas"/>
        <family val="3"/>
      </font>
      <fill>
        <patternFill patternType="none">
          <bgColor indexed="65"/>
        </patternFill>
      </fill>
    </ndxf>
  </rcc>
  <rcc rId="3124" sId="5" odxf="1" dxf="1" numFmtId="4">
    <oc r="D36">
      <v>0</v>
    </oc>
    <nc r="D36">
      <v>25000</v>
    </nc>
    <odxf>
      <fill>
        <patternFill patternType="solid">
          <bgColor rgb="FFFFC000"/>
        </patternFill>
      </fill>
    </odxf>
    <ndxf>
      <fill>
        <patternFill patternType="none">
          <bgColor indexed="65"/>
        </patternFill>
      </fill>
    </ndxf>
  </rcc>
</revisions>
</file>

<file path=xl/revisions/revisionLog6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25" sId="6">
    <oc r="E56">
      <f>SUM(E53:E54)</f>
    </oc>
    <nc r="E56">
      <f>SUM(E53:E55)</f>
    </nc>
  </rcc>
  <rcc rId="3126" sId="6">
    <oc r="F56">
      <f>SUM(F53:F54)</f>
    </oc>
    <nc r="F56">
      <f>SUM(F53:F55)</f>
    </nc>
  </rcc>
  <rcc rId="3127" sId="6">
    <oc r="G56">
      <f>SUM(G53:G54)</f>
    </oc>
    <nc r="G56">
      <f>SUM(G53:G55)</f>
    </nc>
  </rcc>
  <rcc rId="3128" sId="6">
    <oc r="H56">
      <f>SUM(H53:H54)</f>
    </oc>
    <nc r="H56">
      <f>SUM(H53:H55)</f>
    </nc>
  </rcc>
  <rcc rId="3129" sId="6">
    <oc r="I56">
      <f>SUM(I53:I54)</f>
    </oc>
    <nc r="I56">
      <f>SUM(I53:I55)</f>
    </nc>
  </rcc>
  <rcc rId="3130" sId="6">
    <oc r="J56">
      <f>SUM(J53:J54)</f>
    </oc>
    <nc r="J56">
      <f>SUM(J53:J55)</f>
    </nc>
  </rcc>
  <rcc rId="3131" sId="6">
    <oc r="K56">
      <f>SUM(K53:K54)</f>
    </oc>
    <nc r="K56">
      <f>SUM(K53:K55)</f>
    </nc>
  </rcc>
  <rcc rId="3132" sId="6">
    <oc r="L56">
      <f>SUM(L53:L54)</f>
    </oc>
    <nc r="L56">
      <f>SUM(L53:L55)</f>
    </nc>
  </rcc>
  <rcc rId="3133" sId="6">
    <oc r="M56">
      <f>SUM(M53:M54)</f>
    </oc>
    <nc r="M56">
      <f>SUM(M53:M55)</f>
    </nc>
  </rcc>
  <rcc rId="3134" sId="6">
    <oc r="N56">
      <f>SUM(N53:N54)</f>
    </oc>
    <nc r="N56">
      <f>SUM(N53:N55)</f>
    </nc>
  </rcc>
  <rcc rId="3135" sId="6">
    <oc r="O56">
      <f>SUM(O53:O54)</f>
    </oc>
    <nc r="O56">
      <f>SUM(O53:O55)</f>
    </nc>
  </rcc>
</revisions>
</file>

<file path=xl/revisions/revisionLog6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36" sId="6" numFmtId="34">
    <oc r="P55">
      <v>0.7</v>
    </oc>
    <nc r="P55">
      <v>7.0000000000000007E-2</v>
    </nc>
  </rcc>
  <rcv guid="{DF69299D-7752-4436-A45D-28F739CEE21B}" action="delete"/>
  <rdn rId="0" localSheetId="1" customView="1" name="Z_DF69299D_7752_4436_A45D_28F739CEE21B_.wvu.PrintArea" hidden="1" oldHidden="1">
    <formula>mayor!$A$1:$Q$42</formula>
    <oldFormula>mayor!$A$1:$Q$42</oldFormula>
  </rdn>
  <rdn rId="0" localSheetId="1" customView="1" name="Z_DF69299D_7752_4436_A45D_28F739CEE21B_.wvu.Cols" hidden="1" oldHidden="1">
    <formula>mayor!$P:$P</formula>
    <oldFormula>mayor!$P:$P</oldFormula>
  </rdn>
  <rdn rId="0" localSheetId="1" customView="1" name="Z_DF69299D_7752_4436_A45D_28F739CEE21B_.wvu.FilterData" hidden="1" oldHidden="1">
    <formula>mayor!$A$16:$C$16</formula>
    <oldFormula>mayor!$A$16:$C$16</oldFormula>
  </rdn>
  <rdn rId="0" localSheetId="2" customView="1" name="Z_DF69299D_7752_4436_A45D_28F739CEE21B_.wvu.PrintArea" hidden="1" oldHidden="1">
    <formula>income!$A$1:$Q$16</formula>
    <oldFormula>income!$A$1:$Q$16</oldFormula>
  </rdn>
  <rdn rId="0" localSheetId="2" customView="1" name="Z_DF69299D_7752_4436_A45D_28F739CEE21B_.wvu.Cols" hidden="1" oldHidden="1">
    <formula>income!$P:$P</formula>
    <oldFormula>income!$P:$P</oldFormula>
  </rdn>
  <rdn rId="0" localSheetId="3" customView="1" name="Z_DF69299D_7752_4436_A45D_28F739CEE21B_.wvu.PrintArea" hidden="1" oldHidden="1">
    <formula>workshop!$A$1:$Q$20</formula>
    <oldFormula>workshop!$A$1:$Q$20</oldFormula>
  </rdn>
  <rdn rId="0" localSheetId="3" customView="1" name="Z_DF69299D_7752_4436_A45D_28F739CEE21B_.wvu.Cols" hidden="1" oldHidden="1">
    <formula>workshop!$J:$J,workshop!$P:$P</formula>
    <oldFormula>workshop!$J:$J,workshop!$P:$P</oldFormula>
  </rdn>
  <rdn rId="0" localSheetId="4" customView="1" name="Z_DF69299D_7752_4436_A45D_28F739CEE21B_.wvu.PrintArea" hidden="1" oldHidden="1">
    <formula>'COMMUNITY SERV'!$A$1:$Q$102</formula>
    <oldFormula>'COMMUNITY SERV'!$A$1:$Q$102</oldFormula>
  </rdn>
  <rdn rId="0" localSheetId="5" customView="1" name="Z_DF69299D_7752_4436_A45D_28F739CEE21B_.wvu.PrintArea" hidden="1" oldHidden="1">
    <formula>EEM!$A$1:$Q$97</formula>
    <oldFormula>EEM!$A$1:$Q$97</oldFormula>
  </rdn>
  <rdn rId="0" localSheetId="6" customView="1" name="Z_DF69299D_7752_4436_A45D_28F739CEE21B_.wvu.PrintArea" hidden="1" oldHidden="1">
    <formula>CEM!$A$1:$Q$146</formula>
    <oldFormula>CEM!$A$1:$Q$146</oldFormula>
  </rdn>
  <rdn rId="0" localSheetId="6" customView="1" name="Z_DF69299D_7752_4436_A45D_28F739CEE21B_.wvu.Rows" hidden="1" oldHidden="1">
    <formula>CEM!$141:$141</formula>
    <oldFormula>CEM!$141:$141</oldFormula>
  </rdn>
  <rdn rId="0" localSheetId="6" customView="1" name="Z_DF69299D_7752_4436_A45D_28F739CEE21B_.wvu.Cols" hidden="1" oldHidden="1">
    <formula>CEM!$P:$P</formula>
    <oldFormula>CEM!$P:$P</oldFormula>
  </rdn>
  <rdn rId="0" localSheetId="7" customView="1" name="Z_DF69299D_7752_4436_A45D_28F739CEE21B_.wvu.PrintArea" hidden="1" oldHidden="1">
    <formula>MDC!$A$1:$Q$90</formula>
    <oldFormula>MDC!$A$1:$Q$90</oldFormula>
  </rdn>
  <rdn rId="0" localSheetId="7" customView="1" name="Z_DF69299D_7752_4436_A45D_28F739CEE21B_.wvu.Rows" hidden="1" oldHidden="1">
    <formula>MDC!$67:$73</formula>
    <oldFormula>MDC!$67:$73</oldFormula>
  </rdn>
  <rdn rId="0" localSheetId="7" customView="1" name="Z_DF69299D_7752_4436_A45D_28F739CEE21B_.wvu.Cols" hidden="1" oldHidden="1">
    <formula>MDC!$J:$J,MDC!$P:$P</formula>
    <oldFormula>MDC!$J:$J,MDC!$P:$P</oldFormula>
  </rdn>
  <rdn rId="0" localSheetId="8" customView="1" name="Z_DF69299D_7752_4436_A45D_28F739CEE21B_.wvu.PrintArea" hidden="1" oldHidden="1">
    <formula>BUDGET!$A$1:$B$76</formula>
    <oldFormula>BUDGET!$A$1:$B$76</oldFormula>
  </rdn>
  <rdn rId="0" localSheetId="8" customView="1" name="Z_DF69299D_7752_4436_A45D_28F739CEE21B_.wvu.Rows" hidden="1" oldHidden="1">
    <formula>BUDGET!$3:$7,BUDGET!$9:$9,BUDGET!$11:$11,BUDGET!$13:$16,BUDGET!$18:$21,BUDGET!$23:$23,BUDGET!$25:$28,BUDGET!$30:$36,BUDGET!$38:$38,BUDGET!$40:$40,BUDGET!$42:$47,BUDGET!$49:$49,BUDGET!$51:$54,BUDGET!$56:$59,BUDGET!$61:$66,BUDGET!$68:$68,BUDGET!$70:$70</formula>
    <oldFormula>BUDGET!$3:$7,BUDGET!$9:$9,BUDGET!$11:$11,BUDGET!$13:$16,BUDGET!$18:$21,BUDGET!$23:$23,BUDGET!$25:$28,BUDGET!$30:$36,BUDGET!$38:$38,BUDGET!$40:$40,BUDGET!$42:$47,BUDGET!$49:$49,BUDGET!$51:$54,BUDGET!$56:$59,BUDGET!$61:$66,BUDGET!$68:$68,BUDGET!$70:$70</oldFormula>
  </rdn>
  <rdn rId="0" localSheetId="8" customView="1" name="Z_DF69299D_7752_4436_A45D_28F739CEE21B_.wvu.Cols" hidden="1" oldHidden="1">
    <formula>BUDGET!$C:$S</formula>
    <oldFormula>BUDGET!$C:$S</oldFormula>
  </rdn>
  <rdn rId="0" localSheetId="10" customView="1" name="Z_DF69299D_7752_4436_A45D_28F739CEE21B_.wvu.FilterData" hidden="1" oldHidden="1">
    <formula>orig!$A$1:$AN$198</formula>
    <oldFormula>orig!$A$1:$AN$198</oldFormula>
  </rdn>
  <rdn rId="0" localSheetId="11" customView="1" name="Z_DF69299D_7752_4436_A45D_28F739CEE21B_.wvu.Cols" hidden="1" oldHidden="1">
    <formula>'1-10'!$B:$B</formula>
    <oldFormula>'1-10'!$B:$B</oldFormula>
  </rdn>
  <rdn rId="0" localSheetId="11" customView="1" name="Z_DF69299D_7752_4436_A45D_28F739CEE21B_.wvu.FilterData" hidden="1" oldHidden="1">
    <formula>'1-10'!$A$1:$AY$100</formula>
    <oldFormula>'1-10'!$A$1:$AY$100</oldFormula>
  </rdn>
  <rdn rId="0" localSheetId="12" customView="1" name="Z_DF69299D_7752_4436_A45D_28F739CEE21B_.wvu.Rows" hidden="1" oldHidden="1">
    <formula>'new veh 2012'!$96:$97</formula>
    <oldFormula>'new veh 2012'!$96:$97</oldFormula>
  </rdn>
  <rdn rId="0" localSheetId="12" customView="1" name="Z_DF69299D_7752_4436_A45D_28F739CEE21B_.wvu.FilterData" hidden="1" oldHidden="1">
    <formula>'new veh 2012'!$A$1:$J$95</formula>
    <oldFormula>'new veh 2012'!$A$1:$J$95</oldFormula>
  </rdn>
  <rdn rId="0" localSheetId="14" customView="1" name="Z_DF69299D_7752_4436_A45D_28F739CEE21B_.wvu.FilterData" hidden="1" oldHidden="1">
    <formula>stbk!$A$1:$G$199</formula>
    <oldFormula>stbk!$A$1:$G$199</oldFormula>
  </rdn>
  <rcv guid="{DF69299D-7752-4436-A45D-28F739CEE21B}" action="add"/>
</revisions>
</file>

<file path=xl/revisions/revisionLog6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61" sId="4">
    <nc r="B73" t="inlineStr">
      <is>
        <t>FNY 389 L</t>
      </is>
    </nc>
  </rcc>
  <rcc rId="3162" sId="4" numFmtId="4">
    <nc r="D73">
      <v>40000</v>
    </nc>
  </rcc>
  <rcc rId="3163" sId="4" odxf="1" dxf="1">
    <nc r="E73">
      <f>+D73/P73*(CALC!$A$4)</f>
    </nc>
    <odxf>
      <fill>
        <patternFill patternType="none">
          <bgColor indexed="65"/>
        </patternFill>
      </fill>
    </odxf>
    <ndxf>
      <fill>
        <patternFill patternType="solid">
          <bgColor rgb="FF00B0F0"/>
        </patternFill>
      </fill>
    </ndxf>
  </rcc>
  <rcc rId="3164" sId="4" numFmtId="34">
    <nc r="F73">
      <v>23400</v>
    </nc>
  </rcc>
  <rcc rId="3165" sId="4" odxf="1" dxf="1">
    <nc r="G73">
      <f>21800*(1+CALC!$A$2)</f>
    </nc>
    <odxf>
      <fill>
        <patternFill patternType="none">
          <bgColor indexed="65"/>
        </patternFill>
      </fill>
    </odxf>
    <ndxf>
      <fill>
        <patternFill patternType="solid">
          <bgColor theme="6"/>
        </patternFill>
      </fill>
    </ndxf>
  </rcc>
  <rcc rId="3166" sId="4" numFmtId="34">
    <nc r="H73">
      <v>60000</v>
    </nc>
  </rcc>
  <rcc rId="3167" sId="4" odxf="1" dxf="1">
    <nc r="I73">
      <f>878480/8</f>
    </nc>
    <odxf>
      <fill>
        <patternFill patternType="none">
          <bgColor indexed="65"/>
        </patternFill>
      </fill>
    </odxf>
    <ndxf>
      <fill>
        <patternFill patternType="solid">
          <bgColor theme="6"/>
        </patternFill>
      </fill>
    </ndxf>
  </rcc>
  <rfmt sheetId="4" sqref="J73" start="0" length="0">
    <dxf>
      <fill>
        <patternFill patternType="solid">
          <bgColor theme="6"/>
        </patternFill>
      </fill>
    </dxf>
  </rfmt>
  <rcc rId="3168" sId="4" odxf="1" dxf="1" numFmtId="34">
    <nc r="K73">
      <v>10200</v>
    </nc>
    <odxf>
      <fill>
        <patternFill patternType="none">
          <bgColor indexed="65"/>
        </patternFill>
      </fill>
    </odxf>
    <ndxf>
      <fill>
        <patternFill patternType="solid">
          <bgColor theme="6"/>
        </patternFill>
      </fill>
    </ndxf>
  </rcc>
  <rfmt sheetId="4" sqref="L73" start="0" length="0">
    <dxf>
      <fill>
        <patternFill patternType="solid">
          <bgColor theme="6"/>
        </patternFill>
      </fill>
    </dxf>
  </rfmt>
  <rcc rId="3169" sId="4" odxf="1" dxf="1">
    <nc r="M73">
      <f>SUM(E73:L73)</f>
    </nc>
    <odxf>
      <fill>
        <patternFill patternType="none">
          <bgColor indexed="65"/>
        </patternFill>
      </fill>
    </odxf>
    <ndxf>
      <fill>
        <patternFill patternType="solid">
          <bgColor theme="6"/>
        </patternFill>
      </fill>
    </ndxf>
  </rcc>
  <rcc rId="3170" sId="4" odxf="1" dxf="1">
    <nc r="N73">
      <f>M73/CALC!$A$8*CALC!$A$6</f>
    </nc>
    <odxf>
      <fill>
        <patternFill patternType="none">
          <bgColor indexed="65"/>
        </patternFill>
      </fill>
    </odxf>
    <ndxf>
      <fill>
        <patternFill patternType="solid">
          <bgColor theme="6"/>
        </patternFill>
      </fill>
    </ndxf>
  </rcc>
  <rcc rId="3171" sId="4" odxf="1" dxf="1">
    <nc r="O73">
      <f>+M73+N73</f>
    </nc>
    <odxf>
      <fill>
        <patternFill patternType="none">
          <bgColor indexed="65"/>
        </patternFill>
      </fill>
    </odxf>
    <ndxf>
      <fill>
        <patternFill patternType="solid">
          <bgColor theme="6"/>
        </patternFill>
      </fill>
    </ndxf>
  </rcc>
  <rcc rId="3172" sId="4" odxf="1" dxf="1" numFmtId="34">
    <nc r="P73">
      <v>3.57</v>
    </nc>
    <odxf>
      <fill>
        <patternFill patternType="none">
          <bgColor indexed="65"/>
        </patternFill>
      </fill>
    </odxf>
    <ndxf>
      <fill>
        <patternFill patternType="solid">
          <bgColor theme="6"/>
        </patternFill>
      </fill>
    </ndxf>
  </rcc>
  <rfmt sheetId="4" sqref="F73">
    <dxf>
      <fill>
        <patternFill patternType="solid">
          <bgColor rgb="FF92D050"/>
        </patternFill>
      </fill>
    </dxf>
  </rfmt>
  <rcv guid="{DF69299D-7752-4436-A45D-28F739CEE21B}" action="delete"/>
  <rdn rId="0" localSheetId="1" customView="1" name="Z_DF69299D_7752_4436_A45D_28F739CEE21B_.wvu.PrintArea" hidden="1" oldHidden="1">
    <formula>mayor!$A$1:$Q$42</formula>
    <oldFormula>mayor!$A$1:$Q$42</oldFormula>
  </rdn>
  <rdn rId="0" localSheetId="1" customView="1" name="Z_DF69299D_7752_4436_A45D_28F739CEE21B_.wvu.Cols" hidden="1" oldHidden="1">
    <formula>mayor!$P:$P</formula>
    <oldFormula>mayor!$P:$P</oldFormula>
  </rdn>
  <rdn rId="0" localSheetId="1" customView="1" name="Z_DF69299D_7752_4436_A45D_28F739CEE21B_.wvu.FilterData" hidden="1" oldHidden="1">
    <formula>mayor!$A$16:$C$16</formula>
    <oldFormula>mayor!$A$16:$C$16</oldFormula>
  </rdn>
  <rdn rId="0" localSheetId="2" customView="1" name="Z_DF69299D_7752_4436_A45D_28F739CEE21B_.wvu.PrintArea" hidden="1" oldHidden="1">
    <formula>income!$A$1:$Q$16</formula>
    <oldFormula>income!$A$1:$Q$16</oldFormula>
  </rdn>
  <rdn rId="0" localSheetId="2" customView="1" name="Z_DF69299D_7752_4436_A45D_28F739CEE21B_.wvu.Cols" hidden="1" oldHidden="1">
    <formula>income!$P:$P</formula>
    <oldFormula>income!$P:$P</oldFormula>
  </rdn>
  <rdn rId="0" localSheetId="3" customView="1" name="Z_DF69299D_7752_4436_A45D_28F739CEE21B_.wvu.PrintArea" hidden="1" oldHidden="1">
    <formula>workshop!$A$1:$Q$20</formula>
    <oldFormula>workshop!$A$1:$Q$20</oldFormula>
  </rdn>
  <rdn rId="0" localSheetId="3" customView="1" name="Z_DF69299D_7752_4436_A45D_28F739CEE21B_.wvu.Cols" hidden="1" oldHidden="1">
    <formula>workshop!$J:$J,workshop!$P:$P</formula>
    <oldFormula>workshop!$J:$J,workshop!$P:$P</oldFormula>
  </rdn>
  <rdn rId="0" localSheetId="4" customView="1" name="Z_DF69299D_7752_4436_A45D_28F739CEE21B_.wvu.PrintArea" hidden="1" oldHidden="1">
    <formula>'COMMUNITY SERV'!$A$1:$Q$102</formula>
    <oldFormula>'COMMUNITY SERV'!$A$1:$Q$102</oldFormula>
  </rdn>
  <rdn rId="0" localSheetId="4" customView="1" name="Z_DF69299D_7752_4436_A45D_28F739CEE21B_.wvu.Cols" hidden="1" oldHidden="1">
    <formula>'COMMUNITY SERV'!$P:$P</formula>
  </rdn>
  <rdn rId="0" localSheetId="5" customView="1" name="Z_DF69299D_7752_4436_A45D_28F739CEE21B_.wvu.PrintArea" hidden="1" oldHidden="1">
    <formula>EEM!$A$1:$Q$97</formula>
    <oldFormula>EEM!$A$1:$Q$97</oldFormula>
  </rdn>
  <rdn rId="0" localSheetId="6" customView="1" name="Z_DF69299D_7752_4436_A45D_28F739CEE21B_.wvu.PrintArea" hidden="1" oldHidden="1">
    <formula>CEM!$A$1:$Q$146</formula>
    <oldFormula>CEM!$A$1:$Q$146</oldFormula>
  </rdn>
  <rdn rId="0" localSheetId="6" customView="1" name="Z_DF69299D_7752_4436_A45D_28F739CEE21B_.wvu.Rows" hidden="1" oldHidden="1">
    <formula>CEM!$141:$141</formula>
    <oldFormula>CEM!$141:$141</oldFormula>
  </rdn>
  <rdn rId="0" localSheetId="6" customView="1" name="Z_DF69299D_7752_4436_A45D_28F739CEE21B_.wvu.Cols" hidden="1" oldHidden="1">
    <formula>CEM!$P:$P</formula>
    <oldFormula>CEM!$P:$P</oldFormula>
  </rdn>
  <rdn rId="0" localSheetId="7" customView="1" name="Z_DF69299D_7752_4436_A45D_28F739CEE21B_.wvu.PrintArea" hidden="1" oldHidden="1">
    <formula>MDC!$A$1:$Q$90</formula>
    <oldFormula>MDC!$A$1:$Q$90</oldFormula>
  </rdn>
  <rdn rId="0" localSheetId="7" customView="1" name="Z_DF69299D_7752_4436_A45D_28F739CEE21B_.wvu.Rows" hidden="1" oldHidden="1">
    <formula>MDC!$67:$73</formula>
    <oldFormula>MDC!$67:$73</oldFormula>
  </rdn>
  <rdn rId="0" localSheetId="7" customView="1" name="Z_DF69299D_7752_4436_A45D_28F739CEE21B_.wvu.Cols" hidden="1" oldHidden="1">
    <formula>MDC!$J:$J,MDC!$P:$P</formula>
    <oldFormula>MDC!$J:$J,MDC!$P:$P</oldFormula>
  </rdn>
  <rdn rId="0" localSheetId="8" customView="1" name="Z_DF69299D_7752_4436_A45D_28F739CEE21B_.wvu.PrintArea" hidden="1" oldHidden="1">
    <formula>BUDGET!$A$1:$B$76</formula>
    <oldFormula>BUDGET!$A$1:$B$76</oldFormula>
  </rdn>
  <rdn rId="0" localSheetId="8" customView="1" name="Z_DF69299D_7752_4436_A45D_28F739CEE21B_.wvu.Rows" hidden="1" oldHidden="1">
    <formula>BUDGET!$3:$7,BUDGET!$9:$9,BUDGET!$11:$11,BUDGET!$13:$16,BUDGET!$18:$21,BUDGET!$23:$23,BUDGET!$25:$28,BUDGET!$30:$36,BUDGET!$38:$38,BUDGET!$40:$40,BUDGET!$42:$47,BUDGET!$49:$49,BUDGET!$51:$54,BUDGET!$56:$59,BUDGET!$61:$66,BUDGET!$68:$68,BUDGET!$70:$70</formula>
    <oldFormula>BUDGET!$3:$7,BUDGET!$9:$9,BUDGET!$11:$11,BUDGET!$13:$16,BUDGET!$18:$21,BUDGET!$23:$23,BUDGET!$25:$28,BUDGET!$30:$36,BUDGET!$38:$38,BUDGET!$40:$40,BUDGET!$42:$47,BUDGET!$49:$49,BUDGET!$51:$54,BUDGET!$56:$59,BUDGET!$61:$66,BUDGET!$68:$68,BUDGET!$70:$70</oldFormula>
  </rdn>
  <rdn rId="0" localSheetId="8" customView="1" name="Z_DF69299D_7752_4436_A45D_28F739CEE21B_.wvu.Cols" hidden="1" oldHidden="1">
    <formula>BUDGET!$C:$S</formula>
    <oldFormula>BUDGET!$C:$S</oldFormula>
  </rdn>
  <rdn rId="0" localSheetId="10" customView="1" name="Z_DF69299D_7752_4436_A45D_28F739CEE21B_.wvu.FilterData" hidden="1" oldHidden="1">
    <formula>orig!$A$1:$AN$198</formula>
    <oldFormula>orig!$A$1:$AN$198</oldFormula>
  </rdn>
  <rdn rId="0" localSheetId="11" customView="1" name="Z_DF69299D_7752_4436_A45D_28F739CEE21B_.wvu.Cols" hidden="1" oldHidden="1">
    <formula>'1-10'!$B:$B</formula>
    <oldFormula>'1-10'!$B:$B</oldFormula>
  </rdn>
  <rdn rId="0" localSheetId="11" customView="1" name="Z_DF69299D_7752_4436_A45D_28F739CEE21B_.wvu.FilterData" hidden="1" oldHidden="1">
    <formula>'1-10'!$A$1:$AY$100</formula>
    <oldFormula>'1-10'!$A$1:$AY$100</oldFormula>
  </rdn>
  <rdn rId="0" localSheetId="12" customView="1" name="Z_DF69299D_7752_4436_A45D_28F739CEE21B_.wvu.Rows" hidden="1" oldHidden="1">
    <formula>'new veh 2012'!$96:$97</formula>
    <oldFormula>'new veh 2012'!$96:$97</oldFormula>
  </rdn>
  <rdn rId="0" localSheetId="12" customView="1" name="Z_DF69299D_7752_4436_A45D_28F739CEE21B_.wvu.FilterData" hidden="1" oldHidden="1">
    <formula>'new veh 2012'!$A$1:$J$95</formula>
    <oldFormula>'new veh 2012'!$A$1:$J$95</oldFormula>
  </rdn>
  <rdn rId="0" localSheetId="14" customView="1" name="Z_DF69299D_7752_4436_A45D_28F739CEE21B_.wvu.FilterData" hidden="1" oldHidden="1">
    <formula>stbk!$A$1:$G$199</formula>
    <oldFormula>stbk!$A$1:$G$199</oldFormula>
  </rdn>
  <rcv guid="{DF69299D-7752-4436-A45D-28F739CEE21B}" action="add"/>
</revisions>
</file>

<file path=xl/revisions/revisionLog6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5" sqref="E33:E36">
    <dxf>
      <fill>
        <patternFill patternType="solid">
          <bgColor rgb="FF00B0F0"/>
        </patternFill>
      </fill>
    </dxf>
  </rfmt>
</revisions>
</file>

<file path=xl/revisions/revisionLog6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4" sqref="E33">
    <dxf>
      <fill>
        <patternFill>
          <bgColor rgb="FF7030A0"/>
        </patternFill>
      </fill>
    </dxf>
  </rfmt>
  <rcc rId="3198" sId="6">
    <oc r="A111" t="inlineStr">
      <is>
        <t>MASSEY FERGUSON</t>
      </is>
    </oc>
    <nc r="A111" t="inlineStr">
      <is>
        <t>MASSEY FERGUSON DLG 104 N</t>
      </is>
    </nc>
  </rcc>
  <rcc rId="3199" sId="6">
    <oc r="B111" t="inlineStr">
      <is>
        <t>DLG 104 N [063]</t>
      </is>
    </oc>
    <nc r="B111" t="inlineStr">
      <is>
        <t>DMY 782 L [063]</t>
      </is>
    </nc>
  </rcc>
  <rcv guid="{DF69299D-7752-4436-A45D-28F739CEE21B}" action="delete"/>
  <rdn rId="0" localSheetId="1" customView="1" name="Z_DF69299D_7752_4436_A45D_28F739CEE21B_.wvu.PrintArea" hidden="1" oldHidden="1">
    <formula>mayor!$A$1:$Q$42</formula>
    <oldFormula>mayor!$A$1:$Q$42</oldFormula>
  </rdn>
  <rdn rId="0" localSheetId="1" customView="1" name="Z_DF69299D_7752_4436_A45D_28F739CEE21B_.wvu.Cols" hidden="1" oldHidden="1">
    <formula>mayor!$P:$P</formula>
    <oldFormula>mayor!$P:$P</oldFormula>
  </rdn>
  <rdn rId="0" localSheetId="1" customView="1" name="Z_DF69299D_7752_4436_A45D_28F739CEE21B_.wvu.FilterData" hidden="1" oldHidden="1">
    <formula>mayor!$A$16:$C$16</formula>
    <oldFormula>mayor!$A$16:$C$16</oldFormula>
  </rdn>
  <rdn rId="0" localSheetId="2" customView="1" name="Z_DF69299D_7752_4436_A45D_28F739CEE21B_.wvu.PrintArea" hidden="1" oldHidden="1">
    <formula>income!$A$1:$Q$16</formula>
    <oldFormula>income!$A$1:$Q$16</oldFormula>
  </rdn>
  <rdn rId="0" localSheetId="2" customView="1" name="Z_DF69299D_7752_4436_A45D_28F739CEE21B_.wvu.Cols" hidden="1" oldHidden="1">
    <formula>income!$P:$P</formula>
    <oldFormula>income!$P:$P</oldFormula>
  </rdn>
  <rdn rId="0" localSheetId="3" customView="1" name="Z_DF69299D_7752_4436_A45D_28F739CEE21B_.wvu.PrintArea" hidden="1" oldHidden="1">
    <formula>workshop!$A$1:$Q$20</formula>
    <oldFormula>workshop!$A$1:$Q$20</oldFormula>
  </rdn>
  <rdn rId="0" localSheetId="3" customView="1" name="Z_DF69299D_7752_4436_A45D_28F739CEE21B_.wvu.Cols" hidden="1" oldHidden="1">
    <formula>workshop!$J:$J,workshop!$P:$P</formula>
    <oldFormula>workshop!$J:$J,workshop!$P:$P</oldFormula>
  </rdn>
  <rdn rId="0" localSheetId="4" customView="1" name="Z_DF69299D_7752_4436_A45D_28F739CEE21B_.wvu.PrintArea" hidden="1" oldHidden="1">
    <formula>'COMMUNITY SERV'!$A$1:$Q$102</formula>
    <oldFormula>'COMMUNITY SERV'!$A$1:$Q$102</oldFormula>
  </rdn>
  <rdn rId="0" localSheetId="4" customView="1" name="Z_DF69299D_7752_4436_A45D_28F739CEE21B_.wvu.Cols" hidden="1" oldHidden="1">
    <formula>'COMMUNITY SERV'!$P:$P</formula>
    <oldFormula>'COMMUNITY SERV'!$P:$P</oldFormula>
  </rdn>
  <rdn rId="0" localSheetId="5" customView="1" name="Z_DF69299D_7752_4436_A45D_28F739CEE21B_.wvu.PrintArea" hidden="1" oldHidden="1">
    <formula>EEM!$A$1:$Q$97</formula>
    <oldFormula>EEM!$A$1:$Q$97</oldFormula>
  </rdn>
  <rdn rId="0" localSheetId="6" customView="1" name="Z_DF69299D_7752_4436_A45D_28F739CEE21B_.wvu.PrintArea" hidden="1" oldHidden="1">
    <formula>CEM!$A$1:$Q$146</formula>
    <oldFormula>CEM!$A$1:$Q$146</oldFormula>
  </rdn>
  <rdn rId="0" localSheetId="6" customView="1" name="Z_DF69299D_7752_4436_A45D_28F739CEE21B_.wvu.Rows" hidden="1" oldHidden="1">
    <formula>CEM!$141:$141</formula>
    <oldFormula>CEM!$141:$141</oldFormula>
  </rdn>
  <rdn rId="0" localSheetId="6" customView="1" name="Z_DF69299D_7752_4436_A45D_28F739CEE21B_.wvu.Cols" hidden="1" oldHidden="1">
    <formula>CEM!$P:$P</formula>
    <oldFormula>CEM!$P:$P</oldFormula>
  </rdn>
  <rdn rId="0" localSheetId="7" customView="1" name="Z_DF69299D_7752_4436_A45D_28F739CEE21B_.wvu.PrintArea" hidden="1" oldHidden="1">
    <formula>MDC!$A$1:$Q$90</formula>
    <oldFormula>MDC!$A$1:$Q$90</oldFormula>
  </rdn>
  <rdn rId="0" localSheetId="7" customView="1" name="Z_DF69299D_7752_4436_A45D_28F739CEE21B_.wvu.Rows" hidden="1" oldHidden="1">
    <formula>MDC!$67:$73</formula>
    <oldFormula>MDC!$67:$73</oldFormula>
  </rdn>
  <rdn rId="0" localSheetId="7" customView="1" name="Z_DF69299D_7752_4436_A45D_28F739CEE21B_.wvu.Cols" hidden="1" oldHidden="1">
    <formula>MDC!$J:$J,MDC!$P:$P</formula>
    <oldFormula>MDC!$J:$J,MDC!$P:$P</oldFormula>
  </rdn>
  <rdn rId="0" localSheetId="8" customView="1" name="Z_DF69299D_7752_4436_A45D_28F739CEE21B_.wvu.PrintArea" hidden="1" oldHidden="1">
    <formula>BUDGET!$A$1:$B$76</formula>
    <oldFormula>BUDGET!$A$1:$B$76</oldFormula>
  </rdn>
  <rdn rId="0" localSheetId="8" customView="1" name="Z_DF69299D_7752_4436_A45D_28F739CEE21B_.wvu.Rows" hidden="1" oldHidden="1">
    <formula>BUDGET!$3:$7,BUDGET!$9:$9,BUDGET!$11:$11,BUDGET!$13:$16,BUDGET!$18:$21,BUDGET!$23:$23,BUDGET!$25:$28,BUDGET!$30:$36,BUDGET!$38:$38,BUDGET!$40:$40,BUDGET!$42:$47,BUDGET!$49:$49,BUDGET!$51:$54,BUDGET!$56:$59,BUDGET!$61:$66,BUDGET!$68:$68,BUDGET!$70:$70</formula>
    <oldFormula>BUDGET!$3:$7,BUDGET!$9:$9,BUDGET!$11:$11,BUDGET!$13:$16,BUDGET!$18:$21,BUDGET!$23:$23,BUDGET!$25:$28,BUDGET!$30:$36,BUDGET!$38:$38,BUDGET!$40:$40,BUDGET!$42:$47,BUDGET!$49:$49,BUDGET!$51:$54,BUDGET!$56:$59,BUDGET!$61:$66,BUDGET!$68:$68,BUDGET!$70:$70</oldFormula>
  </rdn>
  <rdn rId="0" localSheetId="8" customView="1" name="Z_DF69299D_7752_4436_A45D_28F739CEE21B_.wvu.Cols" hidden="1" oldHidden="1">
    <formula>BUDGET!$C:$S</formula>
    <oldFormula>BUDGET!$C:$S</oldFormula>
  </rdn>
  <rdn rId="0" localSheetId="10" customView="1" name="Z_DF69299D_7752_4436_A45D_28F739CEE21B_.wvu.FilterData" hidden="1" oldHidden="1">
    <formula>orig!$A$1:$AN$198</formula>
    <oldFormula>orig!$A$1:$AN$198</oldFormula>
  </rdn>
  <rdn rId="0" localSheetId="11" customView="1" name="Z_DF69299D_7752_4436_A45D_28F739CEE21B_.wvu.Cols" hidden="1" oldHidden="1">
    <formula>'1-10'!$B:$B</formula>
    <oldFormula>'1-10'!$B:$B</oldFormula>
  </rdn>
  <rdn rId="0" localSheetId="11" customView="1" name="Z_DF69299D_7752_4436_A45D_28F739CEE21B_.wvu.FilterData" hidden="1" oldHidden="1">
    <formula>'1-10'!$A$1:$AY$100</formula>
    <oldFormula>'1-10'!$A$1:$AY$100</oldFormula>
  </rdn>
  <rdn rId="0" localSheetId="12" customView="1" name="Z_DF69299D_7752_4436_A45D_28F739CEE21B_.wvu.Rows" hidden="1" oldHidden="1">
    <formula>'new veh 2012'!$96:$97</formula>
    <oldFormula>'new veh 2012'!$96:$97</oldFormula>
  </rdn>
  <rdn rId="0" localSheetId="12" customView="1" name="Z_DF69299D_7752_4436_A45D_28F739CEE21B_.wvu.FilterData" hidden="1" oldHidden="1">
    <formula>'new veh 2012'!$A$1:$J$95</formula>
    <oldFormula>'new veh 2012'!$A$1:$J$95</oldFormula>
  </rdn>
  <rdn rId="0" localSheetId="14" customView="1" name="Z_DF69299D_7752_4436_A45D_28F739CEE21B_.wvu.FilterData" hidden="1" oldHidden="1">
    <formula>stbk!$A$1:$G$199</formula>
    <oldFormula>stbk!$A$1:$G$199</oldFormula>
  </rdn>
  <rcv guid="{DF69299D-7752-4436-A45D-28F739CEE21B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6" sqref="A59:C59">
    <dxf>
      <fill>
        <patternFill patternType="solid">
          <bgColor rgb="FFFFFF00"/>
        </patternFill>
      </fill>
    </dxf>
  </rfmt>
  <rfmt sheetId="6" sqref="A60:C60">
    <dxf>
      <fill>
        <patternFill patternType="solid">
          <bgColor rgb="FFFFFF00"/>
        </patternFill>
      </fill>
    </dxf>
  </rfmt>
  <rfmt sheetId="6" sqref="A71:C71">
    <dxf>
      <fill>
        <patternFill patternType="solid">
          <bgColor rgb="FFFFFF00"/>
        </patternFill>
      </fill>
    </dxf>
  </rfmt>
  <rfmt sheetId="6" sqref="A46:C46">
    <dxf>
      <fill>
        <patternFill patternType="solid">
          <bgColor rgb="FFFFFF00"/>
        </patternFill>
      </fill>
    </dxf>
  </rfmt>
  <rfmt sheetId="6" sqref="A47:C47">
    <dxf>
      <fill>
        <patternFill patternType="solid">
          <bgColor rgb="FFFFFF00"/>
        </patternFill>
      </fill>
    </dxf>
  </rfmt>
  <rfmt sheetId="6" sqref="A30:C30">
    <dxf>
      <fill>
        <patternFill patternType="solid">
          <bgColor rgb="FFFFFF00"/>
        </patternFill>
      </fill>
    </dxf>
  </rfmt>
  <rfmt sheetId="6" sqref="A35:C35">
    <dxf>
      <fill>
        <patternFill patternType="solid">
          <bgColor rgb="FFFFFF00"/>
        </patternFill>
      </fill>
    </dxf>
  </rfmt>
  <rfmt sheetId="6" sqref="A72:C72">
    <dxf>
      <fill>
        <patternFill patternType="solid">
          <bgColor rgb="FFFFFF00"/>
        </patternFill>
      </fill>
    </dxf>
  </rfmt>
</revisions>
</file>

<file path=xl/revisions/revisionLog7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25" sId="4">
    <oc r="B35" t="inlineStr">
      <is>
        <t>FORD TRACTOR</t>
      </is>
    </oc>
    <nc r="B35" t="inlineStr">
      <is>
        <t>FORD TRACTOR DLV 293 N</t>
      </is>
    </nc>
  </rcc>
  <rcc rId="3226" sId="4">
    <oc r="A35" t="inlineStr">
      <is>
        <t>DLV 293 N</t>
      </is>
    </oc>
    <nc r="A35" t="inlineStr">
      <is>
        <t>DMY 792 L</t>
      </is>
    </nc>
  </rcc>
  <rfmt sheetId="4" sqref="E34">
    <dxf>
      <fill>
        <patternFill>
          <bgColor rgb="FF7030A0"/>
        </patternFill>
      </fill>
    </dxf>
  </rfmt>
  <rfmt sheetId="4" sqref="E37">
    <dxf>
      <fill>
        <patternFill>
          <bgColor rgb="FF7030A0"/>
        </patternFill>
      </fill>
    </dxf>
  </rfmt>
  <rcc rId="3227" sId="4">
    <oc r="A37" t="inlineStr">
      <is>
        <t>DWD 352 N</t>
      </is>
    </oc>
    <nc r="A37" t="inlineStr">
      <is>
        <t>DMY 731 L</t>
      </is>
    </nc>
  </rcc>
  <rcc rId="3228" sId="4">
    <oc r="B37" t="inlineStr">
      <is>
        <t>NEW HOLLAND</t>
      </is>
    </oc>
    <nc r="B37" t="inlineStr">
      <is>
        <t>NEW HOLLAND DWD352N</t>
      </is>
    </nc>
  </rcc>
  <rcc rId="3229" sId="4">
    <oc r="B33" t="inlineStr">
      <is>
        <t>FORD TRACTOR</t>
      </is>
    </oc>
    <nc r="B33" t="inlineStr">
      <is>
        <t>FORD TRACTOR BGC439N</t>
      </is>
    </nc>
  </rcc>
  <rcc rId="3230" sId="4">
    <oc r="A33" t="inlineStr">
      <is>
        <t>BGC 439 N</t>
      </is>
    </oc>
    <nc r="A33" t="inlineStr">
      <is>
        <t>DMY 713 L</t>
      </is>
    </nc>
  </rcc>
</revisions>
</file>

<file path=xl/revisions/revisionLog7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31" sId="4">
    <oc r="B38" t="inlineStr">
      <is>
        <t>NEW HOLLAND</t>
      </is>
    </oc>
    <nc r="B38" t="inlineStr">
      <is>
        <t>NEW HOLLAND DZF646N</t>
      </is>
    </nc>
  </rcc>
  <rcc rId="3232" sId="4">
    <oc r="A38" t="inlineStr">
      <is>
        <t>DZF 646 N</t>
      </is>
    </oc>
    <nc r="A38" t="inlineStr">
      <is>
        <t>DMY 736 L</t>
      </is>
    </nc>
  </rcc>
  <rfmt sheetId="4" sqref="E38">
    <dxf>
      <fill>
        <patternFill>
          <bgColor rgb="FF7030A0"/>
        </patternFill>
      </fill>
    </dxf>
  </rfmt>
</revisions>
</file>

<file path=xl/revisions/revisionLog7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4" sqref="E35">
    <dxf>
      <fill>
        <patternFill>
          <bgColor rgb="FF7030A0"/>
        </patternFill>
      </fill>
    </dxf>
  </rfmt>
  <rcc rId="3233" sId="4">
    <oc r="A34" t="inlineStr">
      <is>
        <t>DKN 792 N [105]</t>
      </is>
    </oc>
    <nc r="A34" t="inlineStr">
      <is>
        <t>DKN 792 L [105]</t>
      </is>
    </nc>
  </rcc>
</revisions>
</file>

<file path=xl/revisions/revisionLog7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34" sId="4">
    <oc r="K33">
      <v>390</v>
    </oc>
    <nc r="K33">
      <f>258*1.1</f>
    </nc>
  </rcc>
  <rcc rId="3235" sId="4" numFmtId="34">
    <oc r="K38">
      <v>390</v>
    </oc>
    <nc r="K38">
      <f>258*1.1</f>
    </nc>
  </rcc>
  <rcc rId="3236" sId="4" numFmtId="34">
    <oc r="K37">
      <v>390</v>
    </oc>
    <nc r="K37">
      <f>258*1.1</f>
    </nc>
  </rcc>
  <rcc rId="3237" sId="6" numFmtId="34">
    <oc r="K111">
      <v>390</v>
    </oc>
    <nc r="K111">
      <f>258*1.1</f>
    </nc>
  </rcc>
  <rfmt sheetId="6" sqref="K111">
    <dxf>
      <fill>
        <patternFill>
          <bgColor rgb="FF7030A0"/>
        </patternFill>
      </fill>
    </dxf>
  </rfmt>
  <rfmt sheetId="4" sqref="K33">
    <dxf>
      <fill>
        <patternFill>
          <bgColor rgb="FF7030A0"/>
        </patternFill>
      </fill>
    </dxf>
  </rfmt>
  <rfmt sheetId="4" sqref="K37:K38">
    <dxf>
      <fill>
        <patternFill>
          <bgColor rgb="FF7030A0"/>
        </patternFill>
      </fill>
    </dxf>
  </rfmt>
</revisions>
</file>

<file path=xl/revisions/revisionLog7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38" sId="4" numFmtId="34">
    <oc r="K73">
      <v>10200</v>
    </oc>
    <nc r="K73">
      <f>18414*1.1</f>
    </nc>
  </rcc>
  <rfmt sheetId="4" sqref="K73">
    <dxf>
      <fill>
        <patternFill>
          <bgColor rgb="FF7030A0"/>
        </patternFill>
      </fill>
    </dxf>
  </rfmt>
  <rcc rId="3239" sId="1">
    <oc r="K15">
      <f>1000</f>
    </oc>
    <nc r="K15">
      <f>1110*1.1</f>
    </nc>
  </rcc>
</revisions>
</file>

<file path=xl/revisions/revisionLog7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40" sId="4" numFmtId="34">
    <oc r="K89">
      <v>2400</v>
    </oc>
    <nc r="K89">
      <f>2460*1.1</f>
    </nc>
  </rcc>
  <rfmt sheetId="4" sqref="K89">
    <dxf>
      <fill>
        <patternFill patternType="solid">
          <bgColor rgb="FF7030A0"/>
        </patternFill>
      </fill>
    </dxf>
  </rfmt>
  <rcc rId="3241" sId="4" odxf="1" dxf="1" numFmtId="34">
    <oc r="K90">
      <v>2400</v>
    </oc>
    <nc r="K90">
      <f>2460*1.1</f>
    </nc>
    <odxf>
      <fill>
        <patternFill patternType="none">
          <bgColor indexed="65"/>
        </patternFill>
      </fill>
    </odxf>
    <ndxf>
      <fill>
        <patternFill patternType="solid">
          <bgColor rgb="FF7030A0"/>
        </patternFill>
      </fill>
    </ndxf>
  </rcc>
  <rcc rId="3242" sId="4" odxf="1" dxf="1" numFmtId="34">
    <oc r="K91">
      <v>2400</v>
    </oc>
    <nc r="K91">
      <f>2460*1.1</f>
    </nc>
    <odxf>
      <fill>
        <patternFill patternType="none">
          <bgColor indexed="65"/>
        </patternFill>
      </fill>
    </odxf>
    <ndxf>
      <fill>
        <patternFill patternType="solid">
          <bgColor rgb="FF7030A0"/>
        </patternFill>
      </fill>
    </ndxf>
  </rcc>
</revisions>
</file>

<file path=xl/revisions/revisionLog7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6" sqref="K20">
    <dxf>
      <fill>
        <patternFill patternType="solid">
          <bgColor rgb="FF7030A0"/>
        </patternFill>
      </fill>
    </dxf>
  </rfmt>
  <rcc rId="3243" sId="6">
    <oc r="K20">
      <v>10500</v>
    </oc>
    <nc r="K20">
      <f>1110*1.06</f>
    </nc>
  </rcc>
  <rcc rId="3244" sId="6" odxf="1" dxf="1" numFmtId="34">
    <oc r="K21">
      <v>10500</v>
    </oc>
    <nc r="K21">
      <f>1110*1.06</f>
    </nc>
    <odxf>
      <fill>
        <patternFill patternType="none">
          <bgColor indexed="65"/>
        </patternFill>
      </fill>
    </odxf>
    <ndxf>
      <fill>
        <patternFill patternType="solid">
          <bgColor rgb="FF7030A0"/>
        </patternFill>
      </fill>
    </ndxf>
  </rcc>
  <rcc rId="3245" sId="6" odxf="1" dxf="1" numFmtId="34">
    <oc r="K22">
      <v>10500</v>
    </oc>
    <nc r="K22">
      <f>1110*1.06</f>
    </nc>
    <odxf>
      <fill>
        <patternFill patternType="none">
          <bgColor indexed="65"/>
        </patternFill>
      </fill>
    </odxf>
    <ndxf>
      <fill>
        <patternFill patternType="solid">
          <bgColor rgb="FF7030A0"/>
        </patternFill>
      </fill>
    </ndxf>
  </rcc>
  <rcc rId="3246" sId="4">
    <oc r="K13">
      <f>8500</f>
    </oc>
    <nc r="K13">
      <f>1110*1.06</f>
    </nc>
  </rcc>
  <rfmt sheetId="4" sqref="K13">
    <dxf>
      <fill>
        <patternFill patternType="solid">
          <bgColor rgb="FF7030A0"/>
        </patternFill>
      </fill>
    </dxf>
  </rfmt>
  <rcc rId="3247" sId="4" odxf="1" dxf="1">
    <oc r="K14">
      <f>8500</f>
    </oc>
    <nc r="K14">
      <f>1110*1.06</f>
    </nc>
    <odxf>
      <fill>
        <patternFill patternType="none">
          <bgColor indexed="65"/>
        </patternFill>
      </fill>
    </odxf>
    <ndxf>
      <fill>
        <patternFill patternType="solid">
          <bgColor rgb="FF7030A0"/>
        </patternFill>
      </fill>
    </ndxf>
  </rcc>
  <rfmt sheetId="4" sqref="K13">
    <dxf>
      <fill>
        <patternFill>
          <bgColor theme="0"/>
        </patternFill>
      </fill>
    </dxf>
  </rfmt>
  <rcc rId="3248" sId="6" numFmtId="34">
    <oc r="K60">
      <v>600</v>
    </oc>
    <nc r="K60">
      <f>168*1.06</f>
    </nc>
  </rcc>
  <rcc rId="3249" sId="6" numFmtId="34">
    <oc r="K61">
      <v>600</v>
    </oc>
    <nc r="K61">
      <f>168*1.06</f>
    </nc>
  </rcc>
  <rfmt sheetId="6" sqref="K60:K61">
    <dxf>
      <fill>
        <patternFill patternType="solid">
          <bgColor rgb="FF7030A0"/>
        </patternFill>
      </fill>
    </dxf>
  </rfmt>
  <rcc rId="3250" sId="1" numFmtId="34">
    <oc r="K22">
      <v>600</v>
    </oc>
    <nc r="K22">
      <f>474*1.06</f>
    </nc>
  </rcc>
  <rfmt sheetId="1" sqref="K22">
    <dxf>
      <fill>
        <patternFill patternType="solid">
          <bgColor rgb="FF7030A0"/>
        </patternFill>
      </fill>
    </dxf>
  </rfmt>
  <rcc rId="3251" sId="4" numFmtId="34">
    <oc r="K78">
      <v>960</v>
    </oc>
    <nc r="K78">
      <f>678*1.06</f>
    </nc>
  </rcc>
  <rfmt sheetId="4" sqref="K78">
    <dxf>
      <fill>
        <patternFill patternType="solid">
          <bgColor rgb="FF7030A0"/>
        </patternFill>
      </fill>
    </dxf>
  </rfmt>
  <rcc rId="3252" sId="4" numFmtId="34">
    <oc r="K79">
      <v>960</v>
    </oc>
    <nc r="K79">
      <f>678*1.06</f>
    </nc>
  </rcc>
  <rcc rId="3253" sId="4" numFmtId="34">
    <oc r="K80">
      <v>960</v>
    </oc>
    <nc r="K80">
      <f>678*1.06</f>
    </nc>
  </rcc>
  <rcc rId="3254" sId="4" numFmtId="34">
    <oc r="K81">
      <v>960</v>
    </oc>
    <nc r="K81">
      <f>678*1.06</f>
    </nc>
  </rcc>
  <rcc rId="3255" sId="4" numFmtId="34">
    <oc r="K82">
      <v>960</v>
    </oc>
    <nc r="K82">
      <f>678*1.06</f>
    </nc>
  </rcc>
  <rcc rId="3256" sId="4" numFmtId="34">
    <oc r="K83">
      <v>960</v>
    </oc>
    <nc r="K83">
      <f>678*1.06</f>
    </nc>
  </rcc>
  <rfmt sheetId="4" sqref="K82">
    <dxf>
      <fill>
        <patternFill patternType="solid">
          <bgColor rgb="FF7030A0"/>
        </patternFill>
      </fill>
    </dxf>
  </rfmt>
  <rfmt sheetId="4" sqref="K83">
    <dxf>
      <fill>
        <patternFill patternType="solid">
          <bgColor rgb="FF7030A0"/>
        </patternFill>
      </fill>
    </dxf>
  </rfmt>
  <rfmt sheetId="4" sqref="K81">
    <dxf>
      <fill>
        <patternFill patternType="solid">
          <bgColor rgb="FF7030A0"/>
        </patternFill>
      </fill>
    </dxf>
  </rfmt>
  <rfmt sheetId="4" sqref="K80">
    <dxf>
      <fill>
        <patternFill patternType="solid">
          <bgColor rgb="FF7030A0"/>
        </patternFill>
      </fill>
    </dxf>
  </rfmt>
  <rfmt sheetId="4" sqref="K79">
    <dxf>
      <fill>
        <patternFill patternType="solid">
          <bgColor rgb="FF7030A0"/>
        </patternFill>
      </fill>
    </dxf>
  </rfmt>
</revisions>
</file>

<file path=xl/revisions/revisionLog7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57" sId="7" numFmtId="34">
    <oc r="K11">
      <v>960</v>
    </oc>
    <nc r="K11">
      <f>678*1.06</f>
    </nc>
  </rcc>
  <rcc rId="3258" sId="7" numFmtId="34">
    <oc r="K7">
      <v>960</v>
    </oc>
    <nc r="K7">
      <f>678*1.06</f>
    </nc>
  </rcc>
  <rcc rId="3259" sId="7" numFmtId="34">
    <oc r="K8">
      <v>960</v>
    </oc>
    <nc r="K8">
      <f>678*1.06</f>
    </nc>
  </rcc>
  <rcc rId="3260" sId="7" numFmtId="34">
    <oc r="K9">
      <v>960</v>
    </oc>
    <nc r="K9">
      <f>678*1.06</f>
    </nc>
  </rcc>
  <rcc rId="3261" sId="7" numFmtId="34">
    <oc r="K10">
      <v>960</v>
    </oc>
    <nc r="K10">
      <f>678*1.06</f>
    </nc>
  </rcc>
  <rcc rId="3262" sId="7" numFmtId="34">
    <oc r="K12">
      <v>960</v>
    </oc>
    <nc r="K12">
      <f>678*1.06</f>
    </nc>
  </rcc>
  <rcc rId="3263" sId="7" numFmtId="34">
    <oc r="K13">
      <v>960</v>
    </oc>
    <nc r="K13">
      <f>678*1.06</f>
    </nc>
  </rcc>
  <rcc rId="3264" sId="7" numFmtId="34">
    <oc r="K14">
      <v>960</v>
    </oc>
    <nc r="K14">
      <f>678*1.06</f>
    </nc>
  </rcc>
  <rcc rId="3265" sId="7" numFmtId="34">
    <oc r="K15">
      <v>960</v>
    </oc>
    <nc r="K15">
      <f>678*1.06</f>
    </nc>
  </rcc>
  <rcc rId="3266" sId="7" numFmtId="34">
    <oc r="K16">
      <v>960</v>
    </oc>
    <nc r="K16">
      <f>678*1.06</f>
    </nc>
  </rcc>
  <rfmt sheetId="7" sqref="K11">
    <dxf>
      <fill>
        <patternFill patternType="solid">
          <bgColor rgb="FF7030A0"/>
        </patternFill>
      </fill>
    </dxf>
  </rfmt>
  <rcc rId="3267" sId="3" numFmtId="34">
    <oc r="K8">
      <v>960</v>
    </oc>
    <nc r="K8">
      <f>678*1.06</f>
    </nc>
  </rcc>
  <rcc rId="3268" sId="3" numFmtId="34">
    <oc r="K9">
      <v>960</v>
    </oc>
    <nc r="K9">
      <f>678*1.06</f>
    </nc>
  </rcc>
  <rcc rId="3269" sId="3" numFmtId="34">
    <oc r="K10">
      <v>960</v>
    </oc>
    <nc r="K10">
      <f>678*1.06</f>
    </nc>
  </rcc>
  <rfmt sheetId="3" sqref="K8">
    <dxf>
      <fill>
        <patternFill patternType="solid">
          <bgColor rgb="FF7030A0"/>
        </patternFill>
      </fill>
    </dxf>
  </rfmt>
</revisions>
</file>

<file path=xl/revisions/revisionLog7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70" sId="2" numFmtId="34">
    <oc r="K10">
      <v>960</v>
    </oc>
    <nc r="K10">
      <f>678*1.06</f>
    </nc>
  </rcc>
  <rcc rId="3271" sId="2" numFmtId="34">
    <oc r="K9">
      <v>960</v>
    </oc>
    <nc r="K9">
      <f>678*1.06</f>
    </nc>
  </rcc>
  <rfmt sheetId="2" sqref="K10">
    <dxf>
      <fill>
        <patternFill patternType="solid">
          <bgColor rgb="FF7030A0"/>
        </patternFill>
      </fill>
    </dxf>
  </rfmt>
  <rfmt sheetId="7" sqref="K10">
    <dxf>
      <fill>
        <patternFill patternType="solid">
          <bgColor rgb="FF7030A0"/>
        </patternFill>
      </fill>
    </dxf>
  </rfmt>
  <rfmt sheetId="7" sqref="K8">
    <dxf>
      <fill>
        <patternFill patternType="solid">
          <bgColor rgb="FF7030A0"/>
        </patternFill>
      </fill>
    </dxf>
  </rfmt>
  <rcc rId="3272" sId="1">
    <oc r="K8">
      <f>800</f>
    </oc>
    <nc r="K8">
      <f>678*1.06</f>
    </nc>
  </rcc>
  <rcc rId="3273" sId="1">
    <oc r="K9">
      <f>800</f>
    </oc>
    <nc r="K9">
      <f>678*1.06</f>
    </nc>
  </rcc>
  <rfmt sheetId="1" sqref="K8">
    <dxf>
      <fill>
        <patternFill patternType="solid">
          <bgColor rgb="FF7030A0"/>
        </patternFill>
      </fill>
    </dxf>
  </rfmt>
</revisions>
</file>

<file path=xl/revisions/revisionLog7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7" sqref="K12">
    <dxf>
      <fill>
        <patternFill patternType="solid">
          <bgColor rgb="FF7030A0"/>
        </patternFill>
      </fill>
    </dxf>
  </rfmt>
  <rfmt sheetId="7" sqref="K7">
    <dxf>
      <fill>
        <patternFill patternType="solid">
          <bgColor rgb="FF7030A0"/>
        </patternFill>
      </fill>
    </dxf>
  </rfmt>
  <rfmt sheetId="7" sqref="K9">
    <dxf>
      <fill>
        <patternFill patternType="solid">
          <bgColor rgb="FF7030A0"/>
        </patternFill>
      </fill>
    </dxf>
  </rfmt>
  <rfmt sheetId="7" sqref="K13">
    <dxf>
      <fill>
        <patternFill patternType="solid">
          <bgColor rgb="FF7030A0"/>
        </patternFill>
      </fill>
    </dxf>
  </rfmt>
  <rfmt sheetId="7" sqref="K16">
    <dxf>
      <fill>
        <patternFill patternType="solid">
          <bgColor rgb="FF7030A0"/>
        </patternFill>
      </fill>
    </dxf>
  </rfmt>
  <rfmt sheetId="7" sqref="K14">
    <dxf>
      <fill>
        <patternFill patternType="solid">
          <bgColor rgb="FF7030A0"/>
        </patternFill>
      </fill>
    </dxf>
  </rfmt>
  <rfmt sheetId="7" sqref="K15">
    <dxf>
      <fill>
        <patternFill patternType="solid">
          <bgColor rgb="FF7030A0"/>
        </patternFill>
      </fill>
    </dxf>
  </rfmt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7" sqref="A34:C34">
    <dxf>
      <fill>
        <patternFill patternType="solid">
          <bgColor rgb="FFFFFF00"/>
        </patternFill>
      </fill>
    </dxf>
  </rfmt>
  <rcc rId="2770" sId="7">
    <nc r="L34" t="inlineStr">
      <is>
        <t>Roads</t>
      </is>
    </nc>
  </rcc>
  <rfmt sheetId="7" sqref="L34">
    <dxf>
      <fill>
        <patternFill patternType="solid">
          <bgColor rgb="FFC00000"/>
        </patternFill>
      </fill>
    </dxf>
  </rfmt>
  <rfmt sheetId="6" sqref="A28:C28">
    <dxf>
      <fill>
        <patternFill patternType="solid">
          <bgColor rgb="FFFFFF00"/>
        </patternFill>
      </fill>
    </dxf>
  </rfmt>
  <rfmt sheetId="6" sqref="A77:C77">
    <dxf>
      <fill>
        <patternFill patternType="solid">
          <bgColor rgb="FFFFFF00"/>
        </patternFill>
      </fill>
    </dxf>
  </rfmt>
  <rfmt sheetId="6" sqref="A80:C80">
    <dxf>
      <fill>
        <patternFill patternType="solid">
          <bgColor rgb="FFFFFF00"/>
        </patternFill>
      </fill>
    </dxf>
  </rfmt>
  <rfmt sheetId="6" sqref="A78:C78">
    <dxf>
      <fill>
        <patternFill patternType="solid">
          <bgColor rgb="FFFFFF00"/>
        </patternFill>
      </fill>
    </dxf>
  </rfmt>
</revisions>
</file>

<file path=xl/revisions/revisionLog8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74" sId="6" numFmtId="34">
    <oc r="K7">
      <v>1100</v>
    </oc>
    <nc r="K7">
      <f>678*1.06</f>
    </nc>
  </rcc>
  <rcc rId="3275" sId="6" numFmtId="34">
    <oc r="K8">
      <v>1100</v>
    </oc>
    <nc r="K8">
      <f>678*1.06</f>
    </nc>
  </rcc>
  <rfmt sheetId="6" sqref="K7">
    <dxf>
      <fill>
        <patternFill patternType="solid">
          <bgColor rgb="FF7030A0"/>
        </patternFill>
      </fill>
    </dxf>
  </rfmt>
  <rfmt sheetId="6" sqref="K8">
    <dxf>
      <fill>
        <patternFill patternType="solid">
          <bgColor rgb="FF7030A0"/>
        </patternFill>
      </fill>
    </dxf>
  </rfmt>
  <rcc rId="3276" sId="5" numFmtId="34">
    <oc r="K7">
      <v>960</v>
    </oc>
    <nc r="K7">
      <f>678*1.06</f>
    </nc>
  </rcc>
  <rfmt sheetId="5" sqref="K7">
    <dxf>
      <fill>
        <patternFill patternType="solid">
          <bgColor rgb="FF7030A0"/>
        </patternFill>
      </fill>
    </dxf>
  </rfmt>
  <rcc rId="3277" sId="4" numFmtId="34">
    <oc r="K7">
      <v>960</v>
    </oc>
    <nc r="K7">
      <f>678*1.06</f>
    </nc>
  </rcc>
  <rfmt sheetId="4" sqref="K7">
    <dxf>
      <fill>
        <patternFill patternType="solid">
          <bgColor rgb="FF7030A0"/>
        </patternFill>
      </fill>
    </dxf>
  </rfmt>
  <rfmt sheetId="2" sqref="K9">
    <dxf>
      <fill>
        <patternFill patternType="solid">
          <bgColor rgb="FF7030A0"/>
        </patternFill>
      </fill>
    </dxf>
  </rfmt>
  <rfmt sheetId="1" sqref="K9">
    <dxf>
      <fill>
        <patternFill patternType="solid">
          <bgColor rgb="FF7030A0"/>
        </patternFill>
      </fill>
    </dxf>
  </rfmt>
</revisions>
</file>

<file path=xl/revisions/revisionLog8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K10">
    <dxf>
      <fill>
        <patternFill patternType="solid">
          <bgColor rgb="FF7030A0"/>
        </patternFill>
      </fill>
    </dxf>
  </rfmt>
  <rcc rId="3278" sId="1">
    <oc r="K15">
      <f>1110*1.1</f>
    </oc>
    <nc r="K15">
      <f>1110*1.06</f>
    </nc>
  </rcc>
  <rcc rId="3279" sId="1">
    <oc r="K16">
      <f>1000</f>
    </oc>
    <nc r="K16">
      <f>1110*1.06</f>
    </nc>
  </rcc>
  <rfmt sheetId="1" sqref="K15:K16">
    <dxf>
      <fill>
        <patternFill patternType="solid">
          <bgColor rgb="FF7030A0"/>
        </patternFill>
      </fill>
    </dxf>
  </rfmt>
</revisions>
</file>

<file path=xl/revisions/revisionLog8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80" sId="6">
    <oc r="B55" t="inlineStr">
      <is>
        <t>FNP 871 L</t>
      </is>
    </oc>
    <nc r="B55" t="inlineStr">
      <is>
        <t>FNP 877 L</t>
      </is>
    </nc>
  </rcc>
  <rcc rId="3281" sId="6" numFmtId="34">
    <oc r="K55">
      <v>240</v>
    </oc>
    <nc r="K55">
      <f>168*1.06</f>
    </nc>
  </rcc>
  <rcc rId="3282" sId="4" numFmtId="34">
    <oc r="K66">
      <v>17160</v>
    </oc>
    <nc r="K66">
      <f>16680*1.06</f>
    </nc>
  </rcc>
  <rcc rId="3283" sId="4" numFmtId="34">
    <oc r="K67">
      <v>17160</v>
    </oc>
    <nc r="K67">
      <f>16680*1.06</f>
    </nc>
  </rcc>
  <rcc rId="3284" sId="4" numFmtId="34">
    <oc r="K68">
      <v>17160</v>
    </oc>
    <nc r="K68">
      <f>16680*1.06</f>
    </nc>
  </rcc>
  <rcc rId="3285" sId="4" numFmtId="34">
    <oc r="K69">
      <v>17160</v>
    </oc>
    <nc r="K69">
      <f>16680*1.06</f>
    </nc>
  </rcc>
  <rcc rId="3286" sId="4" numFmtId="34">
    <oc r="K70">
      <v>17160</v>
    </oc>
    <nc r="K70">
      <f>16680*1.06</f>
    </nc>
  </rcc>
  <rfmt sheetId="4" sqref="K66">
    <dxf>
      <fill>
        <patternFill patternType="solid">
          <bgColor rgb="FF7030A0"/>
        </patternFill>
      </fill>
    </dxf>
  </rfmt>
  <rfmt sheetId="4" sqref="K70">
    <dxf>
      <fill>
        <patternFill patternType="solid">
          <bgColor rgb="FF7030A0"/>
        </patternFill>
      </fill>
    </dxf>
  </rfmt>
  <rfmt sheetId="4" sqref="K67">
    <dxf>
      <fill>
        <patternFill patternType="solid">
          <bgColor rgb="FF7030A0"/>
        </patternFill>
      </fill>
    </dxf>
  </rfmt>
  <rfmt sheetId="4" sqref="K68">
    <dxf>
      <fill>
        <patternFill patternType="solid">
          <bgColor rgb="FF7030A0"/>
        </patternFill>
      </fill>
    </dxf>
  </rfmt>
  <rfmt sheetId="4" sqref="K69">
    <dxf>
      <fill>
        <patternFill patternType="solid">
          <bgColor rgb="FF7030A0"/>
        </patternFill>
      </fill>
    </dxf>
  </rfmt>
  <rfmt sheetId="4" sqref="K71">
    <dxf>
      <fill>
        <patternFill patternType="solid">
          <bgColor rgb="FF7030A0"/>
        </patternFill>
      </fill>
    </dxf>
  </rfmt>
  <rcc rId="3287" sId="4" numFmtId="34">
    <oc r="K72">
      <v>10200</v>
    </oc>
    <nc r="K72">
      <f>9492*1.06</f>
    </nc>
  </rcc>
  <rfmt sheetId="4" sqref="K72">
    <dxf>
      <fill>
        <patternFill>
          <bgColor rgb="FF7030A0"/>
        </patternFill>
      </fill>
    </dxf>
  </rfmt>
  <rcc rId="3288" sId="4">
    <oc r="K73">
      <f>18414*1.1</f>
    </oc>
    <nc r="K73">
      <f>18414*1.06</f>
    </nc>
  </rcc>
</revisions>
</file>

<file path=xl/revisions/revisionLog8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89" sId="7" numFmtId="34">
    <oc r="K83">
      <v>10200</v>
    </oc>
    <nc r="K83">
      <f>9228*1.06</f>
    </nc>
  </rcc>
  <rfmt sheetId="7" sqref="K83">
    <dxf>
      <fill>
        <patternFill>
          <bgColor rgb="FF7030A0"/>
        </patternFill>
      </fill>
    </dxf>
  </rfmt>
</revisions>
</file>

<file path=xl/revisions/revisionLog8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90" sId="10">
    <oc r="A194" t="inlineStr">
      <is>
        <t>BNZ 610 L</t>
      </is>
    </oc>
    <nc r="A194" t="inlineStr">
      <is>
        <t>BZN 610 L</t>
      </is>
    </nc>
  </rcc>
  <rcc rId="3291" sId="7" numFmtId="34">
    <oc r="K77">
      <v>10200</v>
    </oc>
    <nc r="K77">
      <f>9492*1.06</f>
    </nc>
  </rcc>
  <rfmt sheetId="7" sqref="K77">
    <dxf>
      <fill>
        <patternFill>
          <bgColor rgb="FF7030A0"/>
        </patternFill>
      </fill>
    </dxf>
  </rfmt>
</revisions>
</file>

<file path=xl/revisions/revisionLog8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92" sId="6" numFmtId="34">
    <oc r="K53">
      <v>240</v>
    </oc>
    <nc r="K53">
      <f>168*1.06</f>
    </nc>
  </rcc>
  <rcc rId="3293" sId="6" numFmtId="34">
    <oc r="K54">
      <v>240</v>
    </oc>
    <nc r="K54">
      <f>168*1.06</f>
    </nc>
  </rcc>
  <rfmt sheetId="6" sqref="K53:K55">
    <dxf>
      <fill>
        <patternFill patternType="solid">
          <bgColor rgb="FF7030A0"/>
        </patternFill>
      </fill>
    </dxf>
  </rfmt>
</revisions>
</file>

<file path=xl/revisions/revisionLog8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94" sId="6" numFmtId="34">
    <oc r="K72">
      <v>10200</v>
    </oc>
    <nc r="K72">
      <f>12420*1.06</f>
    </nc>
  </rcc>
  <rcc rId="3295" sId="6" numFmtId="34">
    <oc r="K73">
      <v>10200</v>
    </oc>
    <nc r="K73">
      <f>12420*1.06</f>
    </nc>
  </rcc>
  <rfmt sheetId="6" sqref="K72">
    <dxf>
      <fill>
        <patternFill patternType="solid">
          <bgColor rgb="FF7030A0"/>
        </patternFill>
      </fill>
    </dxf>
  </rfmt>
</revisions>
</file>

<file path=xl/revisions/revisionLog8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96" sId="5" numFmtId="34">
    <oc r="K80">
      <v>39000</v>
    </oc>
    <nc r="K80">
      <f>34158*1.06</f>
    </nc>
  </rcc>
  <rfmt sheetId="5" sqref="K80">
    <dxf>
      <fill>
        <patternFill patternType="solid">
          <bgColor rgb="FF7030A0"/>
        </patternFill>
      </fill>
    </dxf>
  </rfmt>
</revisions>
</file>

<file path=xl/revisions/revisionLog8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97" sId="4">
    <oc r="K27">
      <f>2500</f>
    </oc>
    <nc r="K27">
      <f>2460*1.06</f>
    </nc>
  </rcc>
  <rfmt sheetId="4" sqref="K27">
    <dxf>
      <fill>
        <patternFill patternType="solid">
          <bgColor rgb="FF7030A0"/>
        </patternFill>
      </fill>
    </dxf>
  </rfmt>
  <rcc rId="3298" sId="4" numFmtId="34">
    <oc r="K96">
      <v>39000</v>
    </oc>
    <nc r="K96">
      <f>38250*1.06</f>
    </nc>
  </rcc>
  <rfmt sheetId="4" sqref="K96">
    <dxf>
      <fill>
        <patternFill patternType="solid">
          <bgColor rgb="FF7030A0"/>
        </patternFill>
      </fill>
    </dxf>
  </rfmt>
</revisions>
</file>

<file path=xl/revisions/revisionLog8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99" sId="5" numFmtId="34">
    <oc r="K73">
      <v>10200</v>
    </oc>
    <nc r="K73">
      <f>11118*1.06</f>
    </nc>
  </rcc>
  <rfmt sheetId="5" sqref="K73">
    <dxf>
      <fill>
        <patternFill patternType="solid">
          <bgColor rgb="FF7030A0"/>
        </patternFill>
      </fill>
    </dxf>
  </rfmt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6" sqref="A53:C54">
    <dxf>
      <fill>
        <patternFill patternType="solid">
          <bgColor rgb="FFFFFF00"/>
        </patternFill>
      </fill>
    </dxf>
  </rfmt>
</revisions>
</file>

<file path=xl/revisions/revisionLog9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00" sId="6" numFmtId="34">
    <oc r="K40">
      <v>10200</v>
    </oc>
    <nc r="K40">
      <f>9492*1.06</f>
    </nc>
  </rcc>
  <rfmt sheetId="6" sqref="K40">
    <dxf>
      <fill>
        <patternFill patternType="solid">
          <bgColor rgb="FF7030A0"/>
        </patternFill>
      </fill>
    </dxf>
  </rfmt>
</revisions>
</file>

<file path=xl/revisions/revisionLog9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01" sId="5" numFmtId="34">
    <oc r="K74">
      <v>10200</v>
    </oc>
    <nc r="K74">
      <f>9492*1.06</f>
    </nc>
  </rcc>
  <rfmt sheetId="5" sqref="K74">
    <dxf>
      <fill>
        <patternFill patternType="solid">
          <bgColor rgb="FF7030A0"/>
        </patternFill>
      </fill>
    </dxf>
  </rfmt>
  <rcc rId="3302" sId="5" numFmtId="34">
    <oc r="K13">
      <v>2400</v>
    </oc>
    <nc r="K13">
      <f>1932*1.06</f>
    </nc>
  </rcc>
  <rfmt sheetId="5" sqref="K13">
    <dxf>
      <fill>
        <patternFill patternType="solid">
          <bgColor rgb="FF7030A0"/>
        </patternFill>
      </fill>
    </dxf>
  </rfmt>
</revisions>
</file>

<file path=xl/revisions/revisionLog9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03" sId="6" numFmtId="34">
    <oc r="K47">
      <v>17160</v>
    </oc>
    <nc r="K47">
      <f>8358*1.06</f>
    </nc>
  </rcc>
  <rfmt sheetId="6" sqref="K47">
    <dxf>
      <fill>
        <patternFill patternType="solid">
          <bgColor rgb="FF7030A0"/>
        </patternFill>
      </fill>
    </dxf>
  </rfmt>
  <rcc rId="3304" sId="6" odxf="1" dxf="1" numFmtId="34">
    <oc r="K46">
      <v>17160</v>
    </oc>
    <nc r="K46">
      <f>8358*1.06</f>
    </nc>
    <odxf>
      <fill>
        <patternFill patternType="none">
          <bgColor indexed="65"/>
        </patternFill>
      </fill>
    </odxf>
    <ndxf>
      <fill>
        <patternFill patternType="solid">
          <bgColor rgb="FF7030A0"/>
        </patternFill>
      </fill>
    </ndxf>
  </rcc>
</revisions>
</file>

<file path=xl/revisions/revisionLog9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05" sId="7" numFmtId="34">
    <oc r="K34">
      <v>17160</v>
    </oc>
    <nc r="K34">
      <f>8358*1.06</f>
    </nc>
  </rcc>
  <rfmt sheetId="7" sqref="K34">
    <dxf>
      <fill>
        <patternFill patternType="solid">
          <bgColor rgb="FF7030A0"/>
        </patternFill>
      </fill>
    </dxf>
  </rfmt>
</revisions>
</file>

<file path=xl/revisions/revisionLog9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06" sId="6">
    <oc r="K73">
      <f>12420*1.06</f>
    </oc>
    <nc r="K73">
      <f>8358*1.06</f>
    </nc>
  </rcc>
  <rfmt sheetId="6" sqref="K73">
    <dxf>
      <fill>
        <patternFill patternType="solid">
          <bgColor rgb="FF7030A0"/>
        </patternFill>
      </fill>
    </dxf>
  </rfmt>
  <rcc rId="3307" sId="5" odxf="1" dxf="1" numFmtId="34">
    <oc r="K14">
      <v>2400</v>
    </oc>
    <nc r="K14">
      <f>1932*1.06</f>
    </nc>
    <odxf>
      <fill>
        <patternFill patternType="none">
          <bgColor indexed="65"/>
        </patternFill>
      </fill>
    </odxf>
    <ndxf>
      <fill>
        <patternFill patternType="solid">
          <bgColor rgb="FF7030A0"/>
        </patternFill>
      </fill>
    </ndxf>
  </rcc>
  <rcc rId="3308" sId="5" odxf="1" dxf="1" numFmtId="34">
    <oc r="K15">
      <v>2400</v>
    </oc>
    <nc r="K15">
      <f>1932*1.06</f>
    </nc>
    <odxf>
      <fill>
        <patternFill patternType="none">
          <bgColor indexed="65"/>
        </patternFill>
      </fill>
    </odxf>
    <ndxf>
      <fill>
        <patternFill patternType="solid">
          <bgColor rgb="FF7030A0"/>
        </patternFill>
      </fill>
    </ndxf>
  </rcc>
</revisions>
</file>

<file path=xl/revisions/revisionLog9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09" sId="6" numFmtId="34">
    <oc r="K14">
      <v>1200</v>
    </oc>
    <nc r="K14">
      <f>678*1.06</f>
    </nc>
  </rcc>
  <rcc rId="3310" sId="6" numFmtId="34">
    <oc r="K13">
      <v>1200</v>
    </oc>
    <nc r="K13">
      <f>678*1.06</f>
    </nc>
  </rcc>
  <rm rId="3311" sheetId="6" source="K13:K14" destination="K14:K15" sourceSheetId="6">
    <undo index="65535" exp="ref" v="1" dr="K15" r="K16" sId="6"/>
    <rcc rId="0" sId="6" s="1" dxf="1" numFmtId="34">
      <nc r="K15">
        <v>1200</v>
      </nc>
      <ndxf>
        <font>
          <sz val="8"/>
          <color auto="1"/>
          <name val="Consolas"/>
          <family val="3"/>
          <scheme val="none"/>
        </font>
        <numFmt numFmtId="35" formatCode="_(* #,##0.00_);_(* \(#,##0.00\);_(* &quot;-&quot;??_);_(@_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m>
  <rcc rId="3312" sId="6" odxf="1" s="1" dxf="1">
    <nc r="K13">
      <f>678*1.06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onsolas"/>
        <family val="3"/>
        <scheme val="none"/>
      </font>
      <numFmt numFmtId="0" formatCode="General"/>
    </odxf>
    <ndxf>
      <numFmt numFmtId="35" formatCode="_(* #,##0.00_);_(* \(#,##0.00\);_(* &quot;-&quot;??_);_(@_)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6" sqref="K14">
    <dxf>
      <fill>
        <patternFill patternType="solid">
          <bgColor rgb="FF7030A0"/>
        </patternFill>
      </fill>
    </dxf>
  </rfmt>
  <rcc rId="3313" sId="7">
    <oc r="K22">
      <v>1200</v>
    </oc>
    <nc r="K22"/>
  </rcc>
  <rcv guid="{DF69299D-7752-4436-A45D-28F739CEE21B}" action="delete"/>
  <rdn rId="0" localSheetId="1" customView="1" name="Z_DF69299D_7752_4436_A45D_28F739CEE21B_.wvu.PrintArea" hidden="1" oldHidden="1">
    <formula>mayor!$A$1:$Q$42</formula>
    <oldFormula>mayor!$A$1:$Q$42</oldFormula>
  </rdn>
  <rdn rId="0" localSheetId="1" customView="1" name="Z_DF69299D_7752_4436_A45D_28F739CEE21B_.wvu.Cols" hidden="1" oldHidden="1">
    <formula>mayor!$P:$P</formula>
    <oldFormula>mayor!$P:$P</oldFormula>
  </rdn>
  <rdn rId="0" localSheetId="1" customView="1" name="Z_DF69299D_7752_4436_A45D_28F739CEE21B_.wvu.FilterData" hidden="1" oldHidden="1">
    <formula>mayor!$A$16:$C$16</formula>
    <oldFormula>mayor!$A$16:$C$16</oldFormula>
  </rdn>
  <rdn rId="0" localSheetId="2" customView="1" name="Z_DF69299D_7752_4436_A45D_28F739CEE21B_.wvu.PrintArea" hidden="1" oldHidden="1">
    <formula>income!$A$1:$Q$16</formula>
    <oldFormula>income!$A$1:$Q$16</oldFormula>
  </rdn>
  <rdn rId="0" localSheetId="2" customView="1" name="Z_DF69299D_7752_4436_A45D_28F739CEE21B_.wvu.Cols" hidden="1" oldHidden="1">
    <formula>income!$P:$P</formula>
    <oldFormula>income!$P:$P</oldFormula>
  </rdn>
  <rdn rId="0" localSheetId="3" customView="1" name="Z_DF69299D_7752_4436_A45D_28F739CEE21B_.wvu.PrintArea" hidden="1" oldHidden="1">
    <formula>workshop!$A$1:$Q$20</formula>
    <oldFormula>workshop!$A$1:$Q$20</oldFormula>
  </rdn>
  <rdn rId="0" localSheetId="3" customView="1" name="Z_DF69299D_7752_4436_A45D_28F739CEE21B_.wvu.Cols" hidden="1" oldHidden="1">
    <formula>workshop!$J:$J,workshop!$P:$P</formula>
    <oldFormula>workshop!$J:$J,workshop!$P:$P</oldFormula>
  </rdn>
  <rdn rId="0" localSheetId="4" customView="1" name="Z_DF69299D_7752_4436_A45D_28F739CEE21B_.wvu.PrintArea" hidden="1" oldHidden="1">
    <formula>'COMMUNITY SERV'!$A$1:$Q$102</formula>
    <oldFormula>'COMMUNITY SERV'!$A$1:$Q$102</oldFormula>
  </rdn>
  <rdn rId="0" localSheetId="4" customView="1" name="Z_DF69299D_7752_4436_A45D_28F739CEE21B_.wvu.Cols" hidden="1" oldHidden="1">
    <formula>'COMMUNITY SERV'!$P:$P</formula>
    <oldFormula>'COMMUNITY SERV'!$P:$P</oldFormula>
  </rdn>
  <rdn rId="0" localSheetId="5" customView="1" name="Z_DF69299D_7752_4436_A45D_28F739CEE21B_.wvu.PrintArea" hidden="1" oldHidden="1">
    <formula>EEM!$A$1:$Q$97</formula>
    <oldFormula>EEM!$A$1:$Q$97</oldFormula>
  </rdn>
  <rdn rId="0" localSheetId="6" customView="1" name="Z_DF69299D_7752_4436_A45D_28F739CEE21B_.wvu.PrintArea" hidden="1" oldHidden="1">
    <formula>CEM!$A$1:$Q$146</formula>
    <oldFormula>CEM!$A$1:$Q$146</oldFormula>
  </rdn>
  <rdn rId="0" localSheetId="6" customView="1" name="Z_DF69299D_7752_4436_A45D_28F739CEE21B_.wvu.Rows" hidden="1" oldHidden="1">
    <formula>CEM!$141:$141</formula>
    <oldFormula>CEM!$141:$141</oldFormula>
  </rdn>
  <rdn rId="0" localSheetId="6" customView="1" name="Z_DF69299D_7752_4436_A45D_28F739CEE21B_.wvu.Cols" hidden="1" oldHidden="1">
    <formula>CEM!$P:$P</formula>
    <oldFormula>CEM!$P:$P</oldFormula>
  </rdn>
  <rdn rId="0" localSheetId="7" customView="1" name="Z_DF69299D_7752_4436_A45D_28F739CEE21B_.wvu.PrintArea" hidden="1" oldHidden="1">
    <formula>MDC!$A$1:$Q$90</formula>
    <oldFormula>MDC!$A$1:$Q$90</oldFormula>
  </rdn>
  <rdn rId="0" localSheetId="7" customView="1" name="Z_DF69299D_7752_4436_A45D_28F739CEE21B_.wvu.Rows" hidden="1" oldHidden="1">
    <formula>MDC!$67:$73</formula>
    <oldFormula>MDC!$67:$73</oldFormula>
  </rdn>
  <rdn rId="0" localSheetId="7" customView="1" name="Z_DF69299D_7752_4436_A45D_28F739CEE21B_.wvu.Cols" hidden="1" oldHidden="1">
    <formula>MDC!$J:$J,MDC!$P:$P</formula>
    <oldFormula>MDC!$J:$J,MDC!$P:$P</oldFormula>
  </rdn>
  <rdn rId="0" localSheetId="8" customView="1" name="Z_DF69299D_7752_4436_A45D_28F739CEE21B_.wvu.PrintArea" hidden="1" oldHidden="1">
    <formula>BUDGET!$A$1:$B$76</formula>
    <oldFormula>BUDGET!$A$1:$B$76</oldFormula>
  </rdn>
  <rdn rId="0" localSheetId="8" customView="1" name="Z_DF69299D_7752_4436_A45D_28F739CEE21B_.wvu.Rows" hidden="1" oldHidden="1">
    <formula>BUDGET!$3:$7,BUDGET!$9:$9,BUDGET!$11:$11,BUDGET!$13:$16,BUDGET!$18:$21,BUDGET!$23:$23,BUDGET!$25:$28,BUDGET!$30:$36,BUDGET!$38:$38,BUDGET!$40:$40,BUDGET!$42:$47,BUDGET!$49:$49,BUDGET!$51:$54,BUDGET!$56:$59,BUDGET!$61:$66,BUDGET!$68:$68,BUDGET!$70:$70</formula>
    <oldFormula>BUDGET!$3:$7,BUDGET!$9:$9,BUDGET!$11:$11,BUDGET!$13:$16,BUDGET!$18:$21,BUDGET!$23:$23,BUDGET!$25:$28,BUDGET!$30:$36,BUDGET!$38:$38,BUDGET!$40:$40,BUDGET!$42:$47,BUDGET!$49:$49,BUDGET!$51:$54,BUDGET!$56:$59,BUDGET!$61:$66,BUDGET!$68:$68,BUDGET!$70:$70</oldFormula>
  </rdn>
  <rdn rId="0" localSheetId="8" customView="1" name="Z_DF69299D_7752_4436_A45D_28F739CEE21B_.wvu.Cols" hidden="1" oldHidden="1">
    <formula>BUDGET!$C:$S</formula>
    <oldFormula>BUDGET!$C:$S</oldFormula>
  </rdn>
  <rdn rId="0" localSheetId="10" customView="1" name="Z_DF69299D_7752_4436_A45D_28F739CEE21B_.wvu.FilterData" hidden="1" oldHidden="1">
    <formula>orig!$A$1:$AN$198</formula>
    <oldFormula>orig!$A$1:$AN$198</oldFormula>
  </rdn>
  <rdn rId="0" localSheetId="11" customView="1" name="Z_DF69299D_7752_4436_A45D_28F739CEE21B_.wvu.Cols" hidden="1" oldHidden="1">
    <formula>'1-10'!$B:$B</formula>
    <oldFormula>'1-10'!$B:$B</oldFormula>
  </rdn>
  <rdn rId="0" localSheetId="11" customView="1" name="Z_DF69299D_7752_4436_A45D_28F739CEE21B_.wvu.FilterData" hidden="1" oldHidden="1">
    <formula>'1-10'!$A$1:$AY$100</formula>
    <oldFormula>'1-10'!$A$1:$AY$100</oldFormula>
  </rdn>
  <rdn rId="0" localSheetId="12" customView="1" name="Z_DF69299D_7752_4436_A45D_28F739CEE21B_.wvu.Rows" hidden="1" oldHidden="1">
    <formula>'new veh 2012'!$96:$97</formula>
    <oldFormula>'new veh 2012'!$96:$97</oldFormula>
  </rdn>
  <rdn rId="0" localSheetId="12" customView="1" name="Z_DF69299D_7752_4436_A45D_28F739CEE21B_.wvu.FilterData" hidden="1" oldHidden="1">
    <formula>'new veh 2012'!$A$1:$J$95</formula>
    <oldFormula>'new veh 2012'!$A$1:$J$95</oldFormula>
  </rdn>
  <rdn rId="0" localSheetId="14" customView="1" name="Z_DF69299D_7752_4436_A45D_28F739CEE21B_.wvu.FilterData" hidden="1" oldHidden="1">
    <formula>stbk!$A$1:$G$199</formula>
    <oldFormula>stbk!$A$1:$G$199</oldFormula>
  </rdn>
  <rcv guid="{DF69299D-7752-4436-A45D-28F739CEE21B}" action="add"/>
</revisions>
</file>

<file path=xl/revisions/revisionLog9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39" sId="7">
    <nc r="K22">
      <f>678*1.06</f>
    </nc>
  </rcc>
  <rcc rId="3340" sId="7" numFmtId="34">
    <oc r="K23">
      <v>1200</v>
    </oc>
    <nc r="K23">
      <f>678*1.06</f>
    </nc>
  </rcc>
  <rcc rId="3341" sId="7" numFmtId="34">
    <oc r="K24">
      <v>1200</v>
    </oc>
    <nc r="K24">
      <f>678*1.06</f>
    </nc>
  </rcc>
  <rfmt sheetId="7" sqref="K22">
    <dxf>
      <fill>
        <patternFill patternType="solid">
          <bgColor rgb="FF7030A0"/>
        </patternFill>
      </fill>
    </dxf>
  </rfmt>
  <rcv guid="{DF69299D-7752-4436-A45D-28F739CEE21B}" action="delete"/>
  <rdn rId="0" localSheetId="1" customView="1" name="Z_DF69299D_7752_4436_A45D_28F739CEE21B_.wvu.PrintArea" hidden="1" oldHidden="1">
    <formula>mayor!$A$1:$Q$42</formula>
    <oldFormula>mayor!$A$1:$Q$42</oldFormula>
  </rdn>
  <rdn rId="0" localSheetId="1" customView="1" name="Z_DF69299D_7752_4436_A45D_28F739CEE21B_.wvu.Cols" hidden="1" oldHidden="1">
    <formula>mayor!$P:$P</formula>
    <oldFormula>mayor!$P:$P</oldFormula>
  </rdn>
  <rdn rId="0" localSheetId="1" customView="1" name="Z_DF69299D_7752_4436_A45D_28F739CEE21B_.wvu.FilterData" hidden="1" oldHidden="1">
    <formula>mayor!$A$16:$C$16</formula>
    <oldFormula>mayor!$A$16:$C$16</oldFormula>
  </rdn>
  <rdn rId="0" localSheetId="2" customView="1" name="Z_DF69299D_7752_4436_A45D_28F739CEE21B_.wvu.PrintArea" hidden="1" oldHidden="1">
    <formula>income!$A$1:$Q$16</formula>
    <oldFormula>income!$A$1:$Q$16</oldFormula>
  </rdn>
  <rdn rId="0" localSheetId="2" customView="1" name="Z_DF69299D_7752_4436_A45D_28F739CEE21B_.wvu.Cols" hidden="1" oldHidden="1">
    <formula>income!$P:$P</formula>
    <oldFormula>income!$P:$P</oldFormula>
  </rdn>
  <rdn rId="0" localSheetId="3" customView="1" name="Z_DF69299D_7752_4436_A45D_28F739CEE21B_.wvu.PrintArea" hidden="1" oldHidden="1">
    <formula>workshop!$A$1:$Q$20</formula>
    <oldFormula>workshop!$A$1:$Q$20</oldFormula>
  </rdn>
  <rdn rId="0" localSheetId="3" customView="1" name="Z_DF69299D_7752_4436_A45D_28F739CEE21B_.wvu.Cols" hidden="1" oldHidden="1">
    <formula>workshop!$J:$J,workshop!$P:$P</formula>
    <oldFormula>workshop!$J:$J,workshop!$P:$P</oldFormula>
  </rdn>
  <rdn rId="0" localSheetId="4" customView="1" name="Z_DF69299D_7752_4436_A45D_28F739CEE21B_.wvu.PrintArea" hidden="1" oldHidden="1">
    <formula>'COMMUNITY SERV'!$A$1:$Q$102</formula>
    <oldFormula>'COMMUNITY SERV'!$A$1:$Q$102</oldFormula>
  </rdn>
  <rdn rId="0" localSheetId="4" customView="1" name="Z_DF69299D_7752_4436_A45D_28F739CEE21B_.wvu.Cols" hidden="1" oldHidden="1">
    <formula>'COMMUNITY SERV'!$P:$P</formula>
    <oldFormula>'COMMUNITY SERV'!$P:$P</oldFormula>
  </rdn>
  <rdn rId="0" localSheetId="5" customView="1" name="Z_DF69299D_7752_4436_A45D_28F739CEE21B_.wvu.PrintArea" hidden="1" oldHidden="1">
    <formula>EEM!$A$1:$Q$97</formula>
    <oldFormula>EEM!$A$1:$Q$97</oldFormula>
  </rdn>
  <rdn rId="0" localSheetId="6" customView="1" name="Z_DF69299D_7752_4436_A45D_28F739CEE21B_.wvu.PrintArea" hidden="1" oldHidden="1">
    <formula>CEM!$A$1:$Q$146</formula>
    <oldFormula>CEM!$A$1:$Q$146</oldFormula>
  </rdn>
  <rdn rId="0" localSheetId="6" customView="1" name="Z_DF69299D_7752_4436_A45D_28F739CEE21B_.wvu.Rows" hidden="1" oldHidden="1">
    <formula>CEM!$141:$141</formula>
    <oldFormula>CEM!$141:$141</oldFormula>
  </rdn>
  <rdn rId="0" localSheetId="6" customView="1" name="Z_DF69299D_7752_4436_A45D_28F739CEE21B_.wvu.Cols" hidden="1" oldHidden="1">
    <formula>CEM!$P:$P</formula>
    <oldFormula>CEM!$P:$P</oldFormula>
  </rdn>
  <rdn rId="0" localSheetId="7" customView="1" name="Z_DF69299D_7752_4436_A45D_28F739CEE21B_.wvu.PrintArea" hidden="1" oldHidden="1">
    <formula>MDC!$A$1:$Q$90</formula>
    <oldFormula>MDC!$A$1:$Q$90</oldFormula>
  </rdn>
  <rdn rId="0" localSheetId="7" customView="1" name="Z_DF69299D_7752_4436_A45D_28F739CEE21B_.wvu.Rows" hidden="1" oldHidden="1">
    <formula>MDC!$67:$73</formula>
    <oldFormula>MDC!$67:$73</oldFormula>
  </rdn>
  <rdn rId="0" localSheetId="7" customView="1" name="Z_DF69299D_7752_4436_A45D_28F739CEE21B_.wvu.Cols" hidden="1" oldHidden="1">
    <formula>MDC!$J:$J,MDC!$P:$P</formula>
    <oldFormula>MDC!$J:$J,MDC!$P:$P</oldFormula>
  </rdn>
  <rdn rId="0" localSheetId="8" customView="1" name="Z_DF69299D_7752_4436_A45D_28F739CEE21B_.wvu.PrintArea" hidden="1" oldHidden="1">
    <formula>BUDGET!$A$1:$B$76</formula>
    <oldFormula>BUDGET!$A$1:$B$76</oldFormula>
  </rdn>
  <rdn rId="0" localSheetId="8" customView="1" name="Z_DF69299D_7752_4436_A45D_28F739CEE21B_.wvu.Rows" hidden="1" oldHidden="1">
    <formula>BUDGET!$3:$7,BUDGET!$9:$9,BUDGET!$11:$11,BUDGET!$13:$16,BUDGET!$18:$21,BUDGET!$23:$23,BUDGET!$25:$28,BUDGET!$30:$36,BUDGET!$38:$38,BUDGET!$40:$40,BUDGET!$42:$47,BUDGET!$49:$49,BUDGET!$51:$54,BUDGET!$56:$59,BUDGET!$61:$66,BUDGET!$68:$68,BUDGET!$70:$70</formula>
    <oldFormula>BUDGET!$3:$7,BUDGET!$9:$9,BUDGET!$11:$11,BUDGET!$13:$16,BUDGET!$18:$21,BUDGET!$23:$23,BUDGET!$25:$28,BUDGET!$30:$36,BUDGET!$38:$38,BUDGET!$40:$40,BUDGET!$42:$47,BUDGET!$49:$49,BUDGET!$51:$54,BUDGET!$56:$59,BUDGET!$61:$66,BUDGET!$68:$68,BUDGET!$70:$70</oldFormula>
  </rdn>
  <rdn rId="0" localSheetId="8" customView="1" name="Z_DF69299D_7752_4436_A45D_28F739CEE21B_.wvu.Cols" hidden="1" oldHidden="1">
    <formula>BUDGET!$C:$S</formula>
    <oldFormula>BUDGET!$C:$S</oldFormula>
  </rdn>
  <rdn rId="0" localSheetId="10" customView="1" name="Z_DF69299D_7752_4436_A45D_28F739CEE21B_.wvu.FilterData" hidden="1" oldHidden="1">
    <formula>orig!$A$1:$AN$198</formula>
    <oldFormula>orig!$A$1:$AN$198</oldFormula>
  </rdn>
  <rdn rId="0" localSheetId="11" customView="1" name="Z_DF69299D_7752_4436_A45D_28F739CEE21B_.wvu.Cols" hidden="1" oldHidden="1">
    <formula>'1-10'!$B:$B</formula>
    <oldFormula>'1-10'!$B:$B</oldFormula>
  </rdn>
  <rdn rId="0" localSheetId="11" customView="1" name="Z_DF69299D_7752_4436_A45D_28F739CEE21B_.wvu.FilterData" hidden="1" oldHidden="1">
    <formula>'1-10'!$A$1:$AY$100</formula>
    <oldFormula>'1-10'!$A$1:$AY$100</oldFormula>
  </rdn>
  <rdn rId="0" localSheetId="12" customView="1" name="Z_DF69299D_7752_4436_A45D_28F739CEE21B_.wvu.Rows" hidden="1" oldHidden="1">
    <formula>'new veh 2012'!$96:$97</formula>
    <oldFormula>'new veh 2012'!$96:$97</oldFormula>
  </rdn>
  <rdn rId="0" localSheetId="12" customView="1" name="Z_DF69299D_7752_4436_A45D_28F739CEE21B_.wvu.FilterData" hidden="1" oldHidden="1">
    <formula>'new veh 2012'!$A$1:$J$95</formula>
    <oldFormula>'new veh 2012'!$A$1:$J$95</oldFormula>
  </rdn>
  <rdn rId="0" localSheetId="14" customView="1" name="Z_DF69299D_7752_4436_A45D_28F739CEE21B_.wvu.FilterData" hidden="1" oldHidden="1">
    <formula>stbk!$A$1:$G$199</formula>
    <oldFormula>stbk!$A$1:$G$199</oldFormula>
  </rdn>
  <rcv guid="{DF69299D-7752-4436-A45D-28F739CEE21B}" action="add"/>
</revisions>
</file>

<file path=xl/revisions/revisionLog9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7" sqref="K24">
    <dxf>
      <fill>
        <patternFill patternType="solid">
          <bgColor rgb="FF7030A0"/>
        </patternFill>
      </fill>
    </dxf>
  </rfmt>
</revisions>
</file>

<file path=xl/revisions/revisionLog9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67" sId="5" numFmtId="34">
    <oc r="K29">
      <v>1200</v>
    </oc>
    <nc r="K29">
      <f>678*1.06</f>
    </nc>
  </rcc>
  <rcc rId="3368" sId="5" odxf="1" dxf="1" numFmtId="34">
    <oc r="K31">
      <v>1200</v>
    </oc>
    <nc r="K31">
      <f>678*1.06</f>
    </nc>
    <odxf>
      <font>
        <sz val="8"/>
        <name val="Consolas"/>
        <family val="3"/>
      </font>
    </odxf>
    <ndxf>
      <font>
        <sz val="8"/>
        <color rgb="FFFF0000"/>
        <name val="Consolas"/>
        <family val="3"/>
      </font>
    </ndxf>
  </rcc>
  <rcc rId="3369" sId="5" odxf="1" dxf="1" numFmtId="34">
    <oc r="K32">
      <v>1200</v>
    </oc>
    <nc r="K32">
      <f>678*1.06</f>
    </nc>
    <odxf>
      <font>
        <sz val="8"/>
        <name val="Consolas"/>
        <family val="3"/>
      </font>
    </odxf>
    <ndxf>
      <font>
        <sz val="8"/>
        <color rgb="FFFF0000"/>
        <name val="Consolas"/>
        <family val="3"/>
      </font>
    </ndxf>
  </rcc>
  <rcc rId="3370" sId="5" odxf="1" dxf="1" numFmtId="34">
    <oc r="K33">
      <v>1200</v>
    </oc>
    <nc r="K33">
      <f>678*1.06</f>
    </nc>
    <odxf>
      <font>
        <sz val="8"/>
        <name val="Consolas"/>
        <family val="3"/>
      </font>
    </odxf>
    <ndxf>
      <font>
        <sz val="8"/>
        <color rgb="FFFF0000"/>
        <name val="Consolas"/>
        <family val="3"/>
      </font>
    </ndxf>
  </rcc>
  <rcc rId="3371" sId="5" odxf="1" dxf="1" numFmtId="34">
    <oc r="K34">
      <v>1200</v>
    </oc>
    <nc r="K34">
      <f>678*1.06</f>
    </nc>
    <odxf>
      <font>
        <sz val="8"/>
        <name val="Consolas"/>
        <family val="3"/>
      </font>
    </odxf>
    <ndxf>
      <font>
        <sz val="8"/>
        <color rgb="FFFF0000"/>
        <name val="Consolas"/>
        <family val="3"/>
      </font>
    </ndxf>
  </rcc>
  <rcc rId="3372" sId="5" odxf="1" dxf="1" numFmtId="34">
    <oc r="K35">
      <v>1200</v>
    </oc>
    <nc r="K35">
      <f>678*1.06</f>
    </nc>
    <odxf>
      <font>
        <sz val="8"/>
        <name val="Consolas"/>
        <family val="3"/>
      </font>
    </odxf>
    <ndxf>
      <font>
        <sz val="8"/>
        <color rgb="FFFF0000"/>
        <name val="Consolas"/>
        <family val="3"/>
      </font>
    </ndxf>
  </rcc>
  <rcc rId="3373" sId="5" odxf="1" dxf="1" numFmtId="34">
    <oc r="K36">
      <v>1200</v>
    </oc>
    <nc r="K36">
      <f>678*1.06</f>
    </nc>
    <odxf>
      <font>
        <sz val="8"/>
        <name val="Consolas"/>
        <family val="3"/>
      </font>
    </odxf>
    <ndxf>
      <font>
        <sz val="8"/>
        <color rgb="FFFF0000"/>
        <name val="Consolas"/>
        <family val="3"/>
      </font>
    </ndxf>
  </rcc>
  <rcc rId="3374" sId="5" odxf="1" dxf="1" numFmtId="34">
    <oc r="K39">
      <v>1200</v>
    </oc>
    <nc r="K39">
      <f>678*1.06</f>
    </nc>
    <odxf>
      <font>
        <sz val="8"/>
        <name val="Consolas"/>
        <family val="3"/>
      </font>
    </odxf>
    <ndxf>
      <font>
        <sz val="8"/>
        <color rgb="FFFF0000"/>
        <name val="Consolas"/>
        <family val="3"/>
      </font>
    </ndxf>
  </rcc>
  <rcc rId="3375" sId="5" odxf="1" dxf="1" numFmtId="34">
    <oc r="K40">
      <v>1200</v>
    </oc>
    <nc r="K40">
      <f>678*1.06</f>
    </nc>
    <odxf>
      <font>
        <sz val="8"/>
        <name val="Consolas"/>
        <family val="3"/>
      </font>
    </odxf>
    <ndxf>
      <font>
        <sz val="8"/>
        <color rgb="FFFF0000"/>
        <name val="Consolas"/>
        <family val="3"/>
      </font>
    </ndxf>
  </rcc>
  <rcc rId="3376" sId="5" odxf="1" dxf="1" numFmtId="34">
    <oc r="K42">
      <v>1200</v>
    </oc>
    <nc r="K42">
      <f>678*1.06</f>
    </nc>
    <odxf>
      <font>
        <sz val="8"/>
        <name val="Consolas"/>
        <family val="3"/>
      </font>
    </odxf>
    <ndxf>
      <font>
        <sz val="8"/>
        <color rgb="FFFF0000"/>
        <name val="Consolas"/>
        <family val="3"/>
      </font>
    </ndxf>
  </rcc>
  <rcc rId="3377" sId="5" odxf="1" dxf="1" numFmtId="34">
    <oc r="K43">
      <v>1200</v>
    </oc>
    <nc r="K43">
      <f>678*1.06</f>
    </nc>
    <odxf>
      <font>
        <sz val="8"/>
        <name val="Consolas"/>
        <family val="3"/>
      </font>
    </odxf>
    <ndxf>
      <font>
        <sz val="8"/>
        <color rgb="FFFF0000"/>
        <name val="Consolas"/>
        <family val="3"/>
      </font>
    </ndxf>
  </rcc>
  <rcc rId="3378" sId="5" odxf="1" dxf="1" numFmtId="34">
    <oc r="K45">
      <v>1200</v>
    </oc>
    <nc r="K45">
      <f>678*1.06</f>
    </nc>
    <odxf>
      <font>
        <sz val="8"/>
        <name val="Consolas"/>
        <family val="3"/>
      </font>
    </odxf>
    <ndxf>
      <font>
        <sz val="8"/>
        <color rgb="FFFF0000"/>
        <name val="Consolas"/>
        <family val="3"/>
      </font>
    </ndxf>
  </rcc>
  <rcc rId="3379" sId="5" odxf="1" dxf="1" numFmtId="34">
    <oc r="K46">
      <v>1200</v>
    </oc>
    <nc r="K46">
      <f>678*1.06</f>
    </nc>
    <odxf>
      <font>
        <sz val="8"/>
        <name val="Consolas"/>
        <family val="3"/>
      </font>
    </odxf>
    <ndxf>
      <font>
        <sz val="8"/>
        <color rgb="FFFF0000"/>
        <name val="Consolas"/>
        <family val="3"/>
      </font>
    </ndxf>
  </rcc>
  <rcc rId="3380" sId="5" odxf="1" dxf="1" numFmtId="34">
    <oc r="K47">
      <v>1200</v>
    </oc>
    <nc r="K47">
      <f>678*1.06</f>
    </nc>
    <odxf>
      <font>
        <sz val="8"/>
        <name val="Consolas"/>
        <family val="3"/>
      </font>
    </odxf>
    <ndxf>
      <font>
        <sz val="8"/>
        <color rgb="FFFF0000"/>
        <name val="Consolas"/>
        <family val="3"/>
      </font>
    </ndxf>
  </rcc>
</revisions>
</file>

<file path=xl/revisions/revisionLog9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5" sqref="K29">
    <dxf>
      <fill>
        <patternFill patternType="solid">
          <bgColor rgb="FF7030A0"/>
        </patternFill>
      </fill>
    </dxf>
  </rfmt>
  <rfmt sheetId="5" sqref="K40">
    <dxf>
      <fill>
        <patternFill patternType="solid">
          <bgColor rgb="FF7030A0"/>
        </patternFill>
      </fill>
    </dxf>
  </rfmt>
  <rfmt sheetId="5" sqref="K31">
    <dxf>
      <fill>
        <patternFill patternType="solid">
          <bgColor rgb="FF7030A0"/>
        </patternFill>
      </fill>
    </dxf>
  </rfmt>
  <rfmt sheetId="5" sqref="K32">
    <dxf>
      <fill>
        <patternFill patternType="solid">
          <bgColor rgb="FF7030A0"/>
        </patternFill>
      </fill>
    </dxf>
  </rfmt>
  <rfmt sheetId="5" sqref="K41">
    <dxf>
      <fill>
        <patternFill patternType="solid">
          <bgColor rgb="FF7030A0"/>
        </patternFill>
      </fill>
    </dxf>
  </rfmt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2E5486B5-FD38-4539-A7C7-303ED6B20E66}" name="Siyakudumisa Nokwe" id="-372763159" dateTime="2025-05-13T09:26:39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8.bin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Relationship Id="rId5" Type="http://schemas.openxmlformats.org/officeDocument/2006/relationships/printerSettings" Target="../printerSettings/printerSettings50.bin"/><Relationship Id="rId4" Type="http://schemas.openxmlformats.org/officeDocument/2006/relationships/printerSettings" Target="../printerSettings/printerSettings4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3.bin"/><Relationship Id="rId2" Type="http://schemas.openxmlformats.org/officeDocument/2006/relationships/printerSettings" Target="../printerSettings/printerSettings52.bin"/><Relationship Id="rId1" Type="http://schemas.openxmlformats.org/officeDocument/2006/relationships/printerSettings" Target="../printerSettings/printerSettings51.bin"/><Relationship Id="rId5" Type="http://schemas.openxmlformats.org/officeDocument/2006/relationships/printerSettings" Target="../printerSettings/printerSettings55.bin"/><Relationship Id="rId4" Type="http://schemas.openxmlformats.org/officeDocument/2006/relationships/printerSettings" Target="../printerSettings/printerSettings54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8.bin"/><Relationship Id="rId2" Type="http://schemas.openxmlformats.org/officeDocument/2006/relationships/printerSettings" Target="../printerSettings/printerSettings57.bin"/><Relationship Id="rId1" Type="http://schemas.openxmlformats.org/officeDocument/2006/relationships/printerSettings" Target="../printerSettings/printerSettings56.bin"/><Relationship Id="rId5" Type="http://schemas.openxmlformats.org/officeDocument/2006/relationships/printerSettings" Target="../printerSettings/printerSettings60.bin"/><Relationship Id="rId4" Type="http://schemas.openxmlformats.org/officeDocument/2006/relationships/printerSettings" Target="../printerSettings/printerSettings59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3.bin"/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Relationship Id="rId5" Type="http://schemas.openxmlformats.org/officeDocument/2006/relationships/printerSettings" Target="../printerSettings/printerSettings65.bin"/><Relationship Id="rId4" Type="http://schemas.openxmlformats.org/officeDocument/2006/relationships/printerSettings" Target="../printerSettings/printerSettings64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8.bin"/><Relationship Id="rId2" Type="http://schemas.openxmlformats.org/officeDocument/2006/relationships/printerSettings" Target="../printerSettings/printerSettings67.bin"/><Relationship Id="rId1" Type="http://schemas.openxmlformats.org/officeDocument/2006/relationships/printerSettings" Target="../printerSettings/printerSettings66.bin"/><Relationship Id="rId5" Type="http://schemas.openxmlformats.org/officeDocument/2006/relationships/printerSettings" Target="../printerSettings/printerSettings70.bin"/><Relationship Id="rId4" Type="http://schemas.openxmlformats.org/officeDocument/2006/relationships/printerSettings" Target="../printerSettings/printerSettings69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3.bin"/><Relationship Id="rId2" Type="http://schemas.openxmlformats.org/officeDocument/2006/relationships/printerSettings" Target="../printerSettings/printerSettings72.bin"/><Relationship Id="rId1" Type="http://schemas.openxmlformats.org/officeDocument/2006/relationships/printerSettings" Target="../printerSettings/printerSettings71.bin"/><Relationship Id="rId5" Type="http://schemas.openxmlformats.org/officeDocument/2006/relationships/printerSettings" Target="../printerSettings/printerSettings75.bin"/><Relationship Id="rId4" Type="http://schemas.openxmlformats.org/officeDocument/2006/relationships/printerSettings" Target="../printerSettings/printerSettings7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8.bin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5" Type="http://schemas.openxmlformats.org/officeDocument/2006/relationships/printerSettings" Target="../printerSettings/printerSettings30.bin"/><Relationship Id="rId4" Type="http://schemas.openxmlformats.org/officeDocument/2006/relationships/printerSettings" Target="../printerSettings/printerSettings29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5" Type="http://schemas.openxmlformats.org/officeDocument/2006/relationships/printerSettings" Target="../printerSettings/printerSettings35.bin"/><Relationship Id="rId4" Type="http://schemas.openxmlformats.org/officeDocument/2006/relationships/printerSettings" Target="../printerSettings/printerSettings3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Relationship Id="rId5" Type="http://schemas.openxmlformats.org/officeDocument/2006/relationships/printerSettings" Target="../printerSettings/printerSettings40.bin"/><Relationship Id="rId4" Type="http://schemas.openxmlformats.org/officeDocument/2006/relationships/printerSettings" Target="../printerSettings/printerSettings39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3.bin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Relationship Id="rId5" Type="http://schemas.openxmlformats.org/officeDocument/2006/relationships/printerSettings" Target="../printerSettings/printerSettings45.bin"/><Relationship Id="rId4" Type="http://schemas.openxmlformats.org/officeDocument/2006/relationships/printerSettings" Target="../printerSettings/printerSettings4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tabColor indexed="45"/>
  </sheetPr>
  <dimension ref="A1:T127"/>
  <sheetViews>
    <sheetView zoomScaleSheetLayoutView="100" workbookViewId="0">
      <pane xSplit="3" ySplit="3" topLeftCell="D27" activePane="bottomRight" state="frozen"/>
      <selection pane="topRight" activeCell="D1" sqref="D1"/>
      <selection pane="bottomLeft" activeCell="A4" sqref="A4"/>
      <selection pane="bottomRight" activeCell="F35" sqref="F35"/>
    </sheetView>
  </sheetViews>
  <sheetFormatPr defaultColWidth="9.21875" defaultRowHeight="10.199999999999999" x14ac:dyDescent="0.2"/>
  <cols>
    <col min="1" max="1" width="21" style="2" customWidth="1"/>
    <col min="2" max="2" width="8.77734375" style="2" bestFit="1" customWidth="1"/>
    <col min="3" max="3" width="4.88671875" style="4" bestFit="1" customWidth="1"/>
    <col min="4" max="4" width="7.77734375" style="13" bestFit="1" customWidth="1"/>
    <col min="5" max="5" width="11.21875" style="2" bestFit="1" customWidth="1"/>
    <col min="6" max="6" width="10.77734375" style="2" customWidth="1"/>
    <col min="7" max="12" width="11.21875" style="2" bestFit="1" customWidth="1"/>
    <col min="13" max="13" width="13.21875" style="2" bestFit="1" customWidth="1"/>
    <col min="14" max="14" width="11.21875" style="2" bestFit="1" customWidth="1"/>
    <col min="15" max="15" width="13.21875" style="2" bestFit="1" customWidth="1"/>
    <col min="16" max="16" width="8.21875" style="11" hidden="1" customWidth="1"/>
    <col min="17" max="17" width="7.77734375" style="21" bestFit="1" customWidth="1"/>
    <col min="18" max="16384" width="9.21875" style="2"/>
  </cols>
  <sheetData>
    <row r="1" spans="1:20" ht="15.6" x14ac:dyDescent="0.3">
      <c r="A1" s="360" t="s">
        <v>1568</v>
      </c>
      <c r="B1" s="359"/>
      <c r="C1" s="537"/>
      <c r="D1" s="365" t="s">
        <v>1439</v>
      </c>
      <c r="G1" s="28">
        <f>5300*(1+CALC!$A$2)</f>
        <v>4107.5</v>
      </c>
      <c r="H1" s="28">
        <f>6000*(1+CALC!$A$2)</f>
        <v>4650</v>
      </c>
    </row>
    <row r="3" spans="1:20" s="78" customFormat="1" ht="33" customHeight="1" x14ac:dyDescent="0.2">
      <c r="A3" s="278" t="s">
        <v>1</v>
      </c>
      <c r="B3" s="278" t="s">
        <v>0</v>
      </c>
      <c r="C3" s="278" t="s">
        <v>2</v>
      </c>
      <c r="D3" s="279" t="s">
        <v>3</v>
      </c>
      <c r="E3" s="280" t="s">
        <v>130</v>
      </c>
      <c r="F3" s="280" t="s">
        <v>1450</v>
      </c>
      <c r="G3" s="280" t="s">
        <v>131</v>
      </c>
      <c r="H3" s="280" t="s">
        <v>132</v>
      </c>
      <c r="I3" s="280" t="s">
        <v>137</v>
      </c>
      <c r="J3" s="280" t="s">
        <v>133</v>
      </c>
      <c r="K3" s="280" t="s">
        <v>134</v>
      </c>
      <c r="L3" s="280" t="s">
        <v>188</v>
      </c>
      <c r="M3" s="281" t="s">
        <v>12</v>
      </c>
      <c r="N3" s="280" t="s">
        <v>136</v>
      </c>
      <c r="O3" s="280" t="s">
        <v>135</v>
      </c>
      <c r="P3" s="282" t="s">
        <v>63</v>
      </c>
      <c r="Q3" s="282" t="s">
        <v>11</v>
      </c>
    </row>
    <row r="4" spans="1:20" s="7" customFormat="1" ht="17.25" customHeight="1" x14ac:dyDescent="0.2">
      <c r="C4" s="29"/>
      <c r="D4" s="30"/>
      <c r="E4" s="72"/>
      <c r="F4" s="72"/>
      <c r="G4" s="72"/>
      <c r="H4" s="72"/>
      <c r="I4" s="72"/>
      <c r="J4" s="72"/>
      <c r="K4" s="72"/>
      <c r="L4" s="72"/>
      <c r="N4" s="72"/>
      <c r="O4" s="72"/>
      <c r="P4" s="17"/>
      <c r="Q4" s="34"/>
    </row>
    <row r="5" spans="1:20" ht="10.8" thickBot="1" x14ac:dyDescent="0.25"/>
    <row r="6" spans="1:20" ht="10.8" thickBot="1" x14ac:dyDescent="0.25">
      <c r="A6" s="283" t="s">
        <v>10</v>
      </c>
      <c r="B6" s="284" t="s">
        <v>238</v>
      </c>
      <c r="D6" s="556" t="s">
        <v>623</v>
      </c>
      <c r="E6" s="557"/>
      <c r="F6" s="558"/>
    </row>
    <row r="7" spans="1:20" x14ac:dyDescent="0.2">
      <c r="Q7" s="16"/>
    </row>
    <row r="8" spans="1:20" x14ac:dyDescent="0.2">
      <c r="A8" s="482" t="str">
        <f>+'1-10'!C14</f>
        <v>ISUZU KB200i 2x4 [003]</v>
      </c>
      <c r="B8" s="508" t="s">
        <v>526</v>
      </c>
      <c r="C8" s="483">
        <v>613</v>
      </c>
      <c r="D8" s="6">
        <v>15000</v>
      </c>
      <c r="E8" s="516">
        <f>+D8/P8*(CALC!$A$4)</f>
        <v>37380.699893955461</v>
      </c>
      <c r="F8" s="28">
        <f>250*12*(1+CALC!$B$15)</f>
        <v>3300.0000000000005</v>
      </c>
      <c r="G8" s="28">
        <f>CALC!$A$23*(I8/CEM!I$148)</f>
        <v>2271.2521186022946</v>
      </c>
      <c r="H8" s="28">
        <f>58000*(1+CALC!B14)</f>
        <v>62640.000000000007</v>
      </c>
      <c r="I8" s="28">
        <f>15393.84</f>
        <v>15393.84</v>
      </c>
      <c r="J8" s="28"/>
      <c r="K8" s="522">
        <f>678*(1+CALC!B$13)</f>
        <v>759.36000000000013</v>
      </c>
      <c r="L8" s="28"/>
      <c r="M8" s="28">
        <f>SUM(E8:L8)</f>
        <v>121745.15201255777</v>
      </c>
      <c r="N8" s="28">
        <f>M8/CALC!$A$8*CALC!$A$6</f>
        <v>2377.801636889697</v>
      </c>
      <c r="O8" s="28">
        <f>+M8+N8</f>
        <v>124122.95364944746</v>
      </c>
      <c r="P8" s="37">
        <v>9.43</v>
      </c>
      <c r="Q8" s="38"/>
    </row>
    <row r="9" spans="1:20" x14ac:dyDescent="0.2">
      <c r="A9" s="482" t="str">
        <f>+'1-10'!C28</f>
        <v>ISUZU KB200i 2x4  [006]</v>
      </c>
      <c r="B9" s="508" t="s">
        <v>539</v>
      </c>
      <c r="C9" s="483">
        <v>627</v>
      </c>
      <c r="D9" s="6">
        <v>15000</v>
      </c>
      <c r="E9" s="516">
        <f>+D9/P9*(CALC!$A$4)</f>
        <v>39429.530201342284</v>
      </c>
      <c r="F9" s="28">
        <f>3000*(1+CALC!$B$15)</f>
        <v>3300.0000000000005</v>
      </c>
      <c r="G9" s="28">
        <f>CALC!$A$23*(I9/CEM!I$148)</f>
        <v>2276.7835027096003</v>
      </c>
      <c r="H9" s="28">
        <f>58000*(1+CALC!B14)</f>
        <v>62640.000000000007</v>
      </c>
      <c r="I9" s="28">
        <f>15431.33</f>
        <v>15431.33</v>
      </c>
      <c r="J9" s="28"/>
      <c r="K9" s="522">
        <f>678*(1+CALC!B$13)</f>
        <v>759.36000000000013</v>
      </c>
      <c r="L9" s="28"/>
      <c r="M9" s="28">
        <f>SUM(E9:L9)</f>
        <v>123837.00370405189</v>
      </c>
      <c r="N9" s="28">
        <f>M9/CALC!$A$8*CALC!$A$6</f>
        <v>2418.6575419827568</v>
      </c>
      <c r="O9" s="28">
        <f>+M9+N9</f>
        <v>126255.66124603465</v>
      </c>
      <c r="P9" s="37">
        <v>8.94</v>
      </c>
      <c r="Q9" s="38"/>
    </row>
    <row r="10" spans="1:20" x14ac:dyDescent="0.2">
      <c r="A10" s="8"/>
      <c r="B10" s="8"/>
      <c r="C10" s="14"/>
      <c r="D10" s="6"/>
      <c r="E10" s="19"/>
      <c r="F10" s="9"/>
      <c r="G10" s="9"/>
      <c r="H10" s="9"/>
      <c r="I10" s="9"/>
      <c r="J10" s="28"/>
      <c r="K10" s="9"/>
      <c r="L10" s="9"/>
      <c r="M10" s="9"/>
      <c r="N10" s="9"/>
      <c r="O10" s="9"/>
      <c r="P10" s="23"/>
      <c r="Q10" s="16"/>
    </row>
    <row r="11" spans="1:20" s="7" customFormat="1" x14ac:dyDescent="0.2">
      <c r="B11" s="3" t="s">
        <v>14</v>
      </c>
      <c r="C11" s="18"/>
      <c r="D11" s="12">
        <f t="shared" ref="D11:O11" si="0">SUM(D8:D10)</f>
        <v>30000</v>
      </c>
      <c r="E11" s="42">
        <f t="shared" si="0"/>
        <v>76810.230095297738</v>
      </c>
      <c r="F11" s="42">
        <f t="shared" si="0"/>
        <v>6600.0000000000009</v>
      </c>
      <c r="G11" s="42">
        <f t="shared" si="0"/>
        <v>4548.0356213118948</v>
      </c>
      <c r="H11" s="42">
        <f t="shared" si="0"/>
        <v>125280.00000000001</v>
      </c>
      <c r="I11" s="42">
        <f t="shared" si="0"/>
        <v>30825.17</v>
      </c>
      <c r="J11" s="42">
        <f t="shared" si="0"/>
        <v>0</v>
      </c>
      <c r="K11" s="42">
        <f t="shared" si="0"/>
        <v>1518.7200000000003</v>
      </c>
      <c r="L11" s="42"/>
      <c r="M11" s="42">
        <f t="shared" si="0"/>
        <v>245582.15571660968</v>
      </c>
      <c r="N11" s="42">
        <f t="shared" si="0"/>
        <v>4796.4591788724538</v>
      </c>
      <c r="O11" s="42">
        <f t="shared" si="0"/>
        <v>250378.61489548211</v>
      </c>
      <c r="P11" s="25"/>
      <c r="Q11" s="110">
        <f>(+O11/D11)</f>
        <v>8.3459538298494031</v>
      </c>
      <c r="T11" s="7">
        <f>Q11*D11</f>
        <v>250378.61489548208</v>
      </c>
    </row>
    <row r="12" spans="1:20" s="7" customFormat="1" ht="10.8" thickBot="1" x14ac:dyDescent="0.25">
      <c r="C12" s="29"/>
      <c r="D12" s="30"/>
      <c r="E12" s="26"/>
      <c r="F12" s="31"/>
      <c r="G12" s="31"/>
      <c r="H12" s="31"/>
      <c r="I12" s="31"/>
      <c r="J12" s="17"/>
      <c r="K12" s="31"/>
      <c r="L12" s="31"/>
      <c r="M12" s="31"/>
      <c r="N12" s="31"/>
      <c r="O12" s="31"/>
      <c r="P12" s="31"/>
      <c r="Q12" s="27"/>
    </row>
    <row r="13" spans="1:20" ht="10.8" thickBot="1" x14ac:dyDescent="0.25">
      <c r="A13" s="283" t="s">
        <v>10</v>
      </c>
      <c r="B13" s="284" t="s">
        <v>425</v>
      </c>
      <c r="D13" s="556" t="s">
        <v>205</v>
      </c>
      <c r="E13" s="557"/>
      <c r="F13" s="558"/>
      <c r="Q13" s="16"/>
    </row>
    <row r="14" spans="1:20" x14ac:dyDescent="0.2">
      <c r="Q14" s="16"/>
    </row>
    <row r="15" spans="1:20" x14ac:dyDescent="0.2">
      <c r="A15" s="482" t="str">
        <f>+'1-10'!C50</f>
        <v>TOYOTA QUANTUM [006]</v>
      </c>
      <c r="B15" s="508" t="s">
        <v>548</v>
      </c>
      <c r="C15" s="483">
        <v>649</v>
      </c>
      <c r="D15" s="6">
        <v>15000</v>
      </c>
      <c r="E15" s="516">
        <f>+D15/P15*(CALC!$A$4)</f>
        <v>50357.142857142855</v>
      </c>
      <c r="F15" s="28">
        <f>23400*(1+CALC!$B$15)</f>
        <v>25740.000000000004</v>
      </c>
      <c r="G15" s="28">
        <f>CALC!$A$23*(I15/CEM!I$148)</f>
        <v>4556.5045849757871</v>
      </c>
      <c r="H15" s="28">
        <f>53000*(1+CALC!B14)</f>
        <v>57240.000000000007</v>
      </c>
      <c r="I15" s="28">
        <f>30882.57</f>
        <v>30882.57</v>
      </c>
      <c r="J15" s="28"/>
      <c r="K15" s="522">
        <f>1110*(1+CALC!B$14)</f>
        <v>1198.8000000000002</v>
      </c>
      <c r="L15" s="28"/>
      <c r="M15" s="28">
        <f>SUM(E15:L15)</f>
        <v>169975.01744211864</v>
      </c>
      <c r="N15" s="28">
        <f>M15/CALC!$A$8*CALC!$A$6</f>
        <v>3319.7779790240475</v>
      </c>
      <c r="O15" s="28">
        <f>+M15+N15</f>
        <v>173294.79542114268</v>
      </c>
      <c r="P15" s="37">
        <v>7</v>
      </c>
      <c r="Q15" s="38"/>
    </row>
    <row r="16" spans="1:20" x14ac:dyDescent="0.2">
      <c r="A16" s="482" t="str">
        <f>+'1-10'!C51</f>
        <v>TOYOTA QUANTUM [003]</v>
      </c>
      <c r="B16" s="508" t="s">
        <v>1449</v>
      </c>
      <c r="C16" s="483">
        <v>650</v>
      </c>
      <c r="D16" s="6">
        <v>15000</v>
      </c>
      <c r="E16" s="516">
        <f>+D16/P16*(CALC!$A$4)</f>
        <v>50357.142857142855</v>
      </c>
      <c r="F16" s="28">
        <f>23400*(1+CALC!$B$15)</f>
        <v>25740.000000000004</v>
      </c>
      <c r="G16" s="28">
        <f>CALC!$A$23*(I16/CEM!I$148)</f>
        <v>4556.5045849757871</v>
      </c>
      <c r="H16" s="28">
        <f>53000*(1+CALC!B14)</f>
        <v>57240.000000000007</v>
      </c>
      <c r="I16" s="480">
        <v>30882.57</v>
      </c>
      <c r="J16" s="28"/>
      <c r="K16" s="522">
        <f>1110*(1+CALC!B$14)</f>
        <v>1198.8000000000002</v>
      </c>
      <c r="L16" s="28"/>
      <c r="M16" s="28">
        <f>SUM(E16:L16)</f>
        <v>169975.01744211864</v>
      </c>
      <c r="N16" s="28">
        <f>M16/CALC!$A$8*CALC!$A$6</f>
        <v>3319.7779790240475</v>
      </c>
      <c r="O16" s="28">
        <f>+M16+N16</f>
        <v>173294.79542114268</v>
      </c>
      <c r="P16" s="37">
        <v>7</v>
      </c>
      <c r="Q16" s="38"/>
    </row>
    <row r="17" spans="1:17" x14ac:dyDescent="0.2">
      <c r="A17" s="8"/>
      <c r="B17" s="8"/>
      <c r="C17" s="14"/>
      <c r="D17" s="6"/>
      <c r="E17" s="43"/>
      <c r="F17" s="9"/>
      <c r="G17" s="9"/>
      <c r="H17" s="9"/>
      <c r="I17" s="9"/>
      <c r="J17" s="28"/>
      <c r="K17" s="522"/>
      <c r="L17" s="9"/>
      <c r="M17" s="9"/>
      <c r="N17" s="9"/>
      <c r="O17" s="9"/>
      <c r="P17" s="23"/>
      <c r="Q17" s="16"/>
    </row>
    <row r="18" spans="1:17" s="7" customFormat="1" x14ac:dyDescent="0.2">
      <c r="B18" s="3" t="s">
        <v>14</v>
      </c>
      <c r="C18" s="18"/>
      <c r="D18" s="12">
        <f t="shared" ref="D18:O18" si="1">SUM(D15:D17)</f>
        <v>30000</v>
      </c>
      <c r="E18" s="42">
        <f t="shared" si="1"/>
        <v>100714.28571428571</v>
      </c>
      <c r="F18" s="42">
        <f t="shared" si="1"/>
        <v>51480.000000000007</v>
      </c>
      <c r="G18" s="42">
        <f t="shared" si="1"/>
        <v>9113.0091699515742</v>
      </c>
      <c r="H18" s="42">
        <f t="shared" si="1"/>
        <v>114480.00000000001</v>
      </c>
      <c r="I18" s="42">
        <f t="shared" si="1"/>
        <v>61765.14</v>
      </c>
      <c r="J18" s="42">
        <f t="shared" si="1"/>
        <v>0</v>
      </c>
      <c r="K18" s="42">
        <f t="shared" si="1"/>
        <v>2397.6000000000004</v>
      </c>
      <c r="L18" s="42"/>
      <c r="M18" s="42">
        <f t="shared" si="1"/>
        <v>339950.03488423728</v>
      </c>
      <c r="N18" s="42">
        <f t="shared" si="1"/>
        <v>6639.5559580480949</v>
      </c>
      <c r="O18" s="42">
        <f t="shared" si="1"/>
        <v>346589.59084228537</v>
      </c>
      <c r="P18" s="25"/>
      <c r="Q18" s="110">
        <f>(+O18/D18)</f>
        <v>11.552986361409513</v>
      </c>
    </row>
    <row r="19" spans="1:17" s="7" customFormat="1" ht="10.8" thickBot="1" x14ac:dyDescent="0.25">
      <c r="C19" s="29"/>
      <c r="D19" s="30"/>
      <c r="E19" s="26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27"/>
    </row>
    <row r="20" spans="1:17" ht="10.8" thickBot="1" x14ac:dyDescent="0.25">
      <c r="A20" s="283" t="s">
        <v>10</v>
      </c>
      <c r="B20" s="284" t="s">
        <v>426</v>
      </c>
      <c r="D20" s="556" t="s">
        <v>101</v>
      </c>
      <c r="E20" s="557"/>
      <c r="F20" s="558"/>
      <c r="Q20" s="16"/>
    </row>
    <row r="21" spans="1:17" x14ac:dyDescent="0.2">
      <c r="Q21" s="16"/>
    </row>
    <row r="22" spans="1:17" x14ac:dyDescent="0.2">
      <c r="A22" s="536" t="str">
        <f>+'1-10'!C2</f>
        <v>CHEVROLET AVEO 1.6  [057]</v>
      </c>
      <c r="B22" s="536" t="s">
        <v>540</v>
      </c>
      <c r="C22" s="483">
        <v>601</v>
      </c>
      <c r="D22" s="484">
        <v>0</v>
      </c>
      <c r="E22" s="514">
        <f>+D22/P22*(CALC!$A$4)</f>
        <v>0</v>
      </c>
      <c r="F22" s="28"/>
      <c r="G22" s="28"/>
      <c r="H22" s="28"/>
      <c r="I22" s="28"/>
      <c r="J22" s="28"/>
      <c r="K22" s="522"/>
      <c r="L22" s="28"/>
      <c r="M22" s="28"/>
      <c r="N22" s="28">
        <f>M22/CALC!$A$8*CALC!$A$6</f>
        <v>0</v>
      </c>
      <c r="O22" s="28">
        <f>+M22+N22</f>
        <v>0</v>
      </c>
      <c r="P22" s="37">
        <v>8</v>
      </c>
      <c r="Q22" s="38"/>
    </row>
    <row r="23" spans="1:17" x14ac:dyDescent="0.2">
      <c r="A23" s="8"/>
      <c r="B23" s="8"/>
      <c r="C23" s="14"/>
      <c r="D23" s="6"/>
      <c r="E23" s="43"/>
      <c r="F23" s="9"/>
      <c r="G23" s="9"/>
      <c r="H23" s="9"/>
      <c r="I23" s="9"/>
      <c r="J23" s="28"/>
      <c r="K23" s="9"/>
      <c r="L23" s="9"/>
      <c r="M23" s="9"/>
      <c r="N23" s="9"/>
      <c r="O23" s="9"/>
      <c r="P23" s="23"/>
      <c r="Q23" s="16"/>
    </row>
    <row r="24" spans="1:17" s="7" customFormat="1" x14ac:dyDescent="0.2">
      <c r="B24" s="3" t="s">
        <v>14</v>
      </c>
      <c r="C24" s="18"/>
      <c r="D24" s="12">
        <f t="shared" ref="D24:M24" si="2">SUM(D22:D23)</f>
        <v>0</v>
      </c>
      <c r="E24" s="42">
        <f t="shared" si="2"/>
        <v>0</v>
      </c>
      <c r="F24" s="10">
        <f t="shared" si="2"/>
        <v>0</v>
      </c>
      <c r="G24" s="10">
        <f t="shared" si="2"/>
        <v>0</v>
      </c>
      <c r="H24" s="10">
        <f t="shared" si="2"/>
        <v>0</v>
      </c>
      <c r="I24" s="10">
        <f t="shared" si="2"/>
        <v>0</v>
      </c>
      <c r="J24" s="10">
        <f t="shared" si="2"/>
        <v>0</v>
      </c>
      <c r="K24" s="10">
        <f t="shared" si="2"/>
        <v>0</v>
      </c>
      <c r="L24" s="10"/>
      <c r="M24" s="10">
        <f t="shared" si="2"/>
        <v>0</v>
      </c>
      <c r="N24" s="10">
        <f>+N22</f>
        <v>0</v>
      </c>
      <c r="O24" s="10">
        <f>+M24+N24</f>
        <v>0</v>
      </c>
      <c r="P24" s="25"/>
      <c r="Q24" s="110" t="e">
        <f>(+O24/D24)*(1+CALC!$A$3)</f>
        <v>#DIV/0!</v>
      </c>
    </row>
    <row r="25" spans="1:17" s="7" customFormat="1" ht="10.8" thickBot="1" x14ac:dyDescent="0.25">
      <c r="C25" s="29"/>
      <c r="D25" s="30"/>
      <c r="E25" s="26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27"/>
    </row>
    <row r="26" spans="1:17" ht="10.8" thickBot="1" x14ac:dyDescent="0.25">
      <c r="A26" s="283" t="s">
        <v>10</v>
      </c>
      <c r="B26" s="284" t="s">
        <v>104</v>
      </c>
      <c r="D26" s="556" t="s">
        <v>209</v>
      </c>
      <c r="E26" s="557"/>
      <c r="F26" s="558"/>
      <c r="Q26" s="16"/>
    </row>
    <row r="27" spans="1:17" x14ac:dyDescent="0.2">
      <c r="Q27" s="16"/>
    </row>
    <row r="28" spans="1:17" s="469" customFormat="1" x14ac:dyDescent="0.2">
      <c r="A28" s="462" t="s">
        <v>551</v>
      </c>
      <c r="B28" s="508" t="s">
        <v>1569</v>
      </c>
      <c r="C28" s="333">
        <v>600</v>
      </c>
      <c r="D28" s="463">
        <v>0</v>
      </c>
      <c r="E28" s="464">
        <f>+D28/P28*(CALC!$A$4)</f>
        <v>0</v>
      </c>
      <c r="F28" s="465">
        <f>23400*(1+CALC!$B$15)</f>
        <v>25740.000000000004</v>
      </c>
      <c r="G28" s="465">
        <v>0</v>
      </c>
      <c r="H28" s="465">
        <v>0</v>
      </c>
      <c r="I28" s="465">
        <v>0</v>
      </c>
      <c r="J28" s="465"/>
      <c r="K28" s="522">
        <f>1110*(1+CALC!B$13)</f>
        <v>1243.2</v>
      </c>
      <c r="L28" s="465"/>
      <c r="M28" s="465">
        <f>SUM(E28:L28)</f>
        <v>26983.200000000004</v>
      </c>
      <c r="N28" s="466">
        <f>M28/CALC!$A$8*CALC!$A$6</f>
        <v>527.00823045425273</v>
      </c>
      <c r="O28" s="465">
        <f>+M28+N28</f>
        <v>27510.208230454256</v>
      </c>
      <c r="P28" s="467">
        <v>7.16</v>
      </c>
      <c r="Q28" s="468"/>
    </row>
    <row r="29" spans="1:17" ht="13.2" x14ac:dyDescent="0.25">
      <c r="A29" s="533" t="s">
        <v>1564</v>
      </c>
      <c r="B29" s="532" t="s">
        <v>1570</v>
      </c>
      <c r="C29" s="14"/>
      <c r="D29" s="6">
        <v>25000</v>
      </c>
      <c r="E29" s="464">
        <v>80000</v>
      </c>
      <c r="F29" s="465">
        <f>23400*(1+CALC!$B$15)</f>
        <v>25740.000000000004</v>
      </c>
      <c r="G29" s="9"/>
      <c r="H29" s="9">
        <f>25000*(1+CALC!B14)</f>
        <v>27000</v>
      </c>
      <c r="I29" s="9"/>
      <c r="J29" s="28"/>
      <c r="K29" s="522">
        <f>1110*(1+CALC!B$14)</f>
        <v>1198.8000000000002</v>
      </c>
      <c r="L29" s="9"/>
      <c r="M29" s="9"/>
      <c r="N29" s="9"/>
      <c r="O29" s="9"/>
      <c r="P29" s="23"/>
      <c r="Q29" s="16"/>
    </row>
    <row r="30" spans="1:17" s="7" customFormat="1" x14ac:dyDescent="0.2">
      <c r="B30" s="538" t="s">
        <v>14</v>
      </c>
      <c r="C30" s="18"/>
      <c r="D30" s="12">
        <f t="shared" ref="D30:M30" si="3">SUM(D28:D29)</f>
        <v>25000</v>
      </c>
      <c r="E30" s="42">
        <f t="shared" si="3"/>
        <v>80000</v>
      </c>
      <c r="F30" s="10">
        <f t="shared" si="3"/>
        <v>51480.000000000007</v>
      </c>
      <c r="G30" s="10">
        <f t="shared" si="3"/>
        <v>0</v>
      </c>
      <c r="H30" s="10">
        <f t="shared" si="3"/>
        <v>27000</v>
      </c>
      <c r="I30" s="10">
        <f t="shared" si="3"/>
        <v>0</v>
      </c>
      <c r="J30" s="10">
        <f t="shared" si="3"/>
        <v>0</v>
      </c>
      <c r="K30" s="10">
        <f t="shared" si="3"/>
        <v>2442</v>
      </c>
      <c r="L30" s="10"/>
      <c r="M30" s="10">
        <f t="shared" si="3"/>
        <v>26983.200000000004</v>
      </c>
      <c r="N30" s="10">
        <f>+N28</f>
        <v>527.00823045425273</v>
      </c>
      <c r="O30" s="10">
        <f>+M30+N30</f>
        <v>27510.208230454256</v>
      </c>
      <c r="P30" s="25"/>
      <c r="Q30" s="110">
        <f>(+O30/D30)*(1+CALC!$A$3)</f>
        <v>1.1004083292181703</v>
      </c>
    </row>
    <row r="31" spans="1:17" s="7" customFormat="1" ht="10.8" thickBot="1" x14ac:dyDescent="0.25">
      <c r="C31" s="29"/>
      <c r="D31" s="30"/>
      <c r="E31" s="26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110"/>
    </row>
    <row r="32" spans="1:17" ht="10.8" thickBot="1" x14ac:dyDescent="0.25">
      <c r="A32" s="283" t="s">
        <v>10</v>
      </c>
      <c r="B32" s="284" t="s">
        <v>104</v>
      </c>
      <c r="D32" s="556" t="s">
        <v>209</v>
      </c>
      <c r="E32" s="557"/>
      <c r="F32" s="558"/>
      <c r="Q32" s="16"/>
    </row>
    <row r="33" spans="1:17" x14ac:dyDescent="0.2">
      <c r="Q33" s="16"/>
    </row>
    <row r="34" spans="1:17" x14ac:dyDescent="0.2">
      <c r="A34" s="482" t="s">
        <v>1445</v>
      </c>
      <c r="B34" s="508" t="s">
        <v>1446</v>
      </c>
      <c r="C34" s="14">
        <v>700</v>
      </c>
      <c r="D34" s="6">
        <v>1000</v>
      </c>
      <c r="E34" s="516">
        <f>+D34/P34*(CALC!$A$4)</f>
        <v>2526.8817204301072</v>
      </c>
      <c r="F34" s="28">
        <f>23400*(1+CALC!$B$15)</f>
        <v>25740.000000000004</v>
      </c>
      <c r="G34" s="28">
        <f>CALC!$A$23*(I34/CEM!I$148)</f>
        <v>10273.310307356369</v>
      </c>
      <c r="H34" s="412">
        <f>5000*(1+CALC!B14)</f>
        <v>5400</v>
      </c>
      <c r="I34" s="412">
        <f>69629.3</f>
        <v>69629.3</v>
      </c>
      <c r="J34" s="412"/>
      <c r="K34" s="522">
        <f>1110*(1+CALC!B$13)</f>
        <v>1243.2</v>
      </c>
      <c r="L34" s="412"/>
      <c r="M34" s="412">
        <f>SUM(E34:L34)</f>
        <v>114812.69202778648</v>
      </c>
      <c r="N34" s="413">
        <f>M34/CALC!$A$8*CALC!$A$6</f>
        <v>2242.4039276013532</v>
      </c>
      <c r="O34" s="412">
        <f>+M34+N34</f>
        <v>117055.09595538783</v>
      </c>
      <c r="P34" s="37">
        <v>9.3000000000000007</v>
      </c>
      <c r="Q34" s="38"/>
    </row>
    <row r="35" spans="1:17" ht="13.2" x14ac:dyDescent="0.25">
      <c r="A35" s="533" t="s">
        <v>1562</v>
      </c>
      <c r="B35" s="543" t="s">
        <v>1563</v>
      </c>
      <c r="C35" s="14"/>
      <c r="D35" s="6">
        <v>38000</v>
      </c>
      <c r="E35" s="516">
        <v>80000</v>
      </c>
      <c r="F35" s="28">
        <f>23400*(1+CALC!$B$15)</f>
        <v>25740.000000000004</v>
      </c>
      <c r="G35" s="9"/>
      <c r="H35" s="412">
        <f>50000*(1+CALC!B14)</f>
        <v>54000</v>
      </c>
      <c r="I35" s="9"/>
      <c r="J35" s="28"/>
      <c r="K35" s="522">
        <f>1110*(1+CALC!B$13)</f>
        <v>1243.2</v>
      </c>
      <c r="L35" s="9"/>
      <c r="M35" s="9"/>
      <c r="N35" s="9"/>
      <c r="O35" s="9"/>
      <c r="P35" s="23"/>
      <c r="Q35" s="16"/>
    </row>
    <row r="36" spans="1:17" s="7" customFormat="1" x14ac:dyDescent="0.2">
      <c r="B36" s="3" t="s">
        <v>14</v>
      </c>
      <c r="C36" s="18"/>
      <c r="D36" s="12">
        <f t="shared" ref="D36:K36" si="4">SUM(D34:D35)</f>
        <v>39000</v>
      </c>
      <c r="E36" s="42">
        <f t="shared" si="4"/>
        <v>82526.881720430101</v>
      </c>
      <c r="F36" s="10">
        <f t="shared" si="4"/>
        <v>51480.000000000007</v>
      </c>
      <c r="G36" s="10">
        <f t="shared" si="4"/>
        <v>10273.310307356369</v>
      </c>
      <c r="H36" s="10">
        <f t="shared" si="4"/>
        <v>59400</v>
      </c>
      <c r="I36" s="10">
        <f t="shared" si="4"/>
        <v>69629.3</v>
      </c>
      <c r="J36" s="10">
        <f t="shared" si="4"/>
        <v>0</v>
      </c>
      <c r="K36" s="10">
        <f t="shared" si="4"/>
        <v>2486.4</v>
      </c>
      <c r="L36" s="10"/>
      <c r="M36" s="10">
        <f t="shared" ref="M36" si="5">SUM(M34:M35)</f>
        <v>114812.69202778648</v>
      </c>
      <c r="N36" s="10">
        <f>+N34</f>
        <v>2242.4039276013532</v>
      </c>
      <c r="O36" s="10">
        <f>+M36+N36</f>
        <v>117055.09595538783</v>
      </c>
      <c r="P36" s="25"/>
      <c r="Q36" s="110">
        <f>(+O36/D36)*(1+CALC!$A$3)</f>
        <v>3.0014127168048161</v>
      </c>
    </row>
    <row r="37" spans="1:17" s="7" customFormat="1" x14ac:dyDescent="0.2">
      <c r="B37" s="407"/>
      <c r="C37" s="408"/>
      <c r="D37" s="409"/>
      <c r="E37" s="410"/>
      <c r="F37" s="411"/>
      <c r="G37" s="411"/>
      <c r="H37" s="411"/>
      <c r="I37" s="411"/>
      <c r="J37" s="411"/>
      <c r="K37" s="411"/>
      <c r="L37" s="411"/>
      <c r="M37" s="411"/>
      <c r="N37" s="411"/>
      <c r="O37" s="411"/>
      <c r="P37" s="31"/>
      <c r="Q37" s="110"/>
    </row>
    <row r="38" spans="1:17" s="7" customFormat="1" ht="10.8" thickBot="1" x14ac:dyDescent="0.25">
      <c r="B38" s="407"/>
      <c r="C38" s="408"/>
      <c r="D38" s="409"/>
      <c r="E38" s="410"/>
      <c r="F38" s="411"/>
      <c r="G38" s="411"/>
      <c r="H38" s="411"/>
      <c r="I38" s="411"/>
      <c r="J38" s="411"/>
      <c r="K38" s="411"/>
      <c r="L38" s="411"/>
      <c r="M38" s="411"/>
      <c r="N38" s="411"/>
      <c r="O38" s="411"/>
      <c r="P38" s="31"/>
      <c r="Q38" s="110"/>
    </row>
    <row r="39" spans="1:17" s="7" customFormat="1" ht="10.8" thickBot="1" x14ac:dyDescent="0.25">
      <c r="A39" s="32"/>
      <c r="B39" s="57"/>
      <c r="C39" s="58"/>
      <c r="D39" s="59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33"/>
      <c r="Q39" s="33"/>
    </row>
    <row r="40" spans="1:17" s="7" customFormat="1" ht="10.8" thickBot="1" x14ac:dyDescent="0.25">
      <c r="A40" s="32" t="s">
        <v>86</v>
      </c>
      <c r="B40" s="57" t="s">
        <v>14</v>
      </c>
      <c r="C40" s="58"/>
      <c r="D40" s="59">
        <f>+D8+D16</f>
        <v>30000</v>
      </c>
      <c r="E40" s="60">
        <f>+E8+E16</f>
        <v>87737.842751098317</v>
      </c>
      <c r="F40" s="60">
        <f t="shared" ref="F40:O40" si="6">+F8+F16</f>
        <v>29040.000000000004</v>
      </c>
      <c r="G40" s="28">
        <f>CALC!$A$23*(CEM!I40/CEM!I$148)</f>
        <v>9096.7469892018489</v>
      </c>
      <c r="H40" s="60">
        <f t="shared" si="6"/>
        <v>119880.00000000001</v>
      </c>
      <c r="I40" s="60">
        <f t="shared" si="6"/>
        <v>46276.41</v>
      </c>
      <c r="J40" s="60">
        <f t="shared" si="6"/>
        <v>0</v>
      </c>
      <c r="K40" s="60">
        <f t="shared" si="6"/>
        <v>1958.1600000000003</v>
      </c>
      <c r="L40" s="60">
        <f t="shared" si="6"/>
        <v>0</v>
      </c>
      <c r="M40" s="60">
        <f t="shared" si="6"/>
        <v>291720.16945467639</v>
      </c>
      <c r="N40" s="60">
        <f t="shared" si="6"/>
        <v>5697.5796159137444</v>
      </c>
      <c r="O40" s="60">
        <f t="shared" si="6"/>
        <v>297417.74907059013</v>
      </c>
      <c r="P40" s="34"/>
      <c r="Q40" s="33"/>
    </row>
    <row r="41" spans="1:17" s="7" customFormat="1" ht="10.8" thickBot="1" x14ac:dyDescent="0.25">
      <c r="A41" s="32" t="s">
        <v>87</v>
      </c>
      <c r="B41" s="57" t="s">
        <v>14</v>
      </c>
      <c r="C41" s="58"/>
      <c r="D41" s="59">
        <f>+D9+D15</f>
        <v>30000</v>
      </c>
      <c r="E41" s="60">
        <f>+E9+E15</f>
        <v>89786.673058485147</v>
      </c>
      <c r="F41" s="60">
        <f t="shared" ref="F41:O41" si="7">+F9+F15</f>
        <v>29040.000000000004</v>
      </c>
      <c r="G41" s="60">
        <f t="shared" si="7"/>
        <v>6833.2880876853869</v>
      </c>
      <c r="H41" s="60">
        <f t="shared" si="7"/>
        <v>119880.00000000001</v>
      </c>
      <c r="I41" s="60">
        <f t="shared" si="7"/>
        <v>46313.9</v>
      </c>
      <c r="J41" s="60">
        <f t="shared" si="7"/>
        <v>0</v>
      </c>
      <c r="K41" s="60">
        <f t="shared" si="7"/>
        <v>1958.1600000000003</v>
      </c>
      <c r="L41" s="60">
        <f t="shared" si="7"/>
        <v>0</v>
      </c>
      <c r="M41" s="60">
        <f t="shared" si="7"/>
        <v>293812.02114617056</v>
      </c>
      <c r="N41" s="60">
        <f t="shared" si="7"/>
        <v>5738.4355210068043</v>
      </c>
      <c r="O41" s="60">
        <f t="shared" si="7"/>
        <v>299550.45666717732</v>
      </c>
      <c r="P41" s="33"/>
      <c r="Q41" s="33"/>
    </row>
    <row r="42" spans="1:17" s="7" customFormat="1" ht="10.8" thickBot="1" x14ac:dyDescent="0.25">
      <c r="A42" s="32" t="s">
        <v>196</v>
      </c>
      <c r="B42" s="57" t="s">
        <v>14</v>
      </c>
      <c r="C42" s="58"/>
      <c r="D42" s="59">
        <f>+D24+D30+D36</f>
        <v>64000</v>
      </c>
      <c r="E42" s="60">
        <f>+E24+E30+E36</f>
        <v>162526.8817204301</v>
      </c>
      <c r="F42" s="60">
        <f t="shared" ref="F42:O42" si="8">+F24+F30+F36</f>
        <v>102960.00000000001</v>
      </c>
      <c r="G42" s="60">
        <f t="shared" si="8"/>
        <v>10273.310307356369</v>
      </c>
      <c r="H42" s="60">
        <f t="shared" si="8"/>
        <v>86400</v>
      </c>
      <c r="I42" s="60">
        <f t="shared" si="8"/>
        <v>69629.3</v>
      </c>
      <c r="J42" s="60">
        <f t="shared" si="8"/>
        <v>0</v>
      </c>
      <c r="K42" s="60">
        <f t="shared" si="8"/>
        <v>4928.3999999999996</v>
      </c>
      <c r="L42" s="60">
        <f t="shared" si="8"/>
        <v>0</v>
      </c>
      <c r="M42" s="60">
        <f t="shared" si="8"/>
        <v>141795.8920277865</v>
      </c>
      <c r="N42" s="60">
        <f t="shared" si="8"/>
        <v>2769.4121580556057</v>
      </c>
      <c r="O42" s="60">
        <f t="shared" si="8"/>
        <v>144565.30418584211</v>
      </c>
      <c r="P42" s="33"/>
      <c r="Q42" s="33"/>
    </row>
    <row r="43" spans="1:17" x14ac:dyDescent="0.2">
      <c r="D43" s="13">
        <f>SUM(D40:D42)</f>
        <v>124000</v>
      </c>
      <c r="E43" s="13">
        <f t="shared" ref="E43:O43" si="9">SUM(E40:E42)</f>
        <v>340051.39753001358</v>
      </c>
      <c r="F43" s="13">
        <f t="shared" si="9"/>
        <v>161040.00000000003</v>
      </c>
      <c r="G43" s="13">
        <f t="shared" si="9"/>
        <v>26203.345384243607</v>
      </c>
      <c r="H43" s="13">
        <f t="shared" si="9"/>
        <v>326160</v>
      </c>
      <c r="I43" s="13">
        <f t="shared" si="9"/>
        <v>162219.60999999999</v>
      </c>
      <c r="J43" s="13">
        <f t="shared" si="9"/>
        <v>0</v>
      </c>
      <c r="K43" s="13">
        <f t="shared" si="9"/>
        <v>8844.7200000000012</v>
      </c>
      <c r="L43" s="13">
        <f t="shared" si="9"/>
        <v>0</v>
      </c>
      <c r="M43" s="13">
        <f t="shared" si="9"/>
        <v>727328.08262863336</v>
      </c>
      <c r="N43" s="13">
        <f t="shared" si="9"/>
        <v>14205.427294976154</v>
      </c>
      <c r="O43" s="13">
        <f t="shared" si="9"/>
        <v>741533.50992360967</v>
      </c>
    </row>
    <row r="44" spans="1:17" x14ac:dyDescent="0.2"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</row>
    <row r="45" spans="1:17" x14ac:dyDescent="0.2">
      <c r="D45" s="13">
        <f>+D11+D18+D24+D30+D36</f>
        <v>124000</v>
      </c>
      <c r="E45" s="13">
        <f>+E11+E18+E24+E30+E36</f>
        <v>340051.39753001358</v>
      </c>
      <c r="F45" s="13">
        <f t="shared" ref="F45:O45" si="10">+F11+F18+F24+F30+F36</f>
        <v>161040.00000000003</v>
      </c>
      <c r="G45" s="13">
        <f t="shared" si="10"/>
        <v>23934.355098619839</v>
      </c>
      <c r="H45" s="13">
        <f t="shared" si="10"/>
        <v>326160</v>
      </c>
      <c r="I45" s="13">
        <f t="shared" si="10"/>
        <v>162219.60999999999</v>
      </c>
      <c r="J45" s="13">
        <f t="shared" si="10"/>
        <v>0</v>
      </c>
      <c r="K45" s="13">
        <f t="shared" si="10"/>
        <v>8844.7200000000012</v>
      </c>
      <c r="L45" s="13">
        <f t="shared" si="10"/>
        <v>0</v>
      </c>
      <c r="M45" s="13">
        <f t="shared" si="10"/>
        <v>727328.08262863336</v>
      </c>
      <c r="N45" s="13">
        <f t="shared" si="10"/>
        <v>14205.427294976154</v>
      </c>
      <c r="O45" s="13">
        <f t="shared" si="10"/>
        <v>741533.50992360956</v>
      </c>
    </row>
    <row r="46" spans="1:17" x14ac:dyDescent="0.2"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</row>
    <row r="127" spans="6:6" x14ac:dyDescent="0.2">
      <c r="F127" s="2">
        <f>SUM(F118:F126)</f>
        <v>0</v>
      </c>
    </row>
  </sheetData>
  <customSheetViews>
    <customSheetView guid="{60788006-5C2B-4CAF-8D5B-3FA82F99F0BB}" hiddenColumns="1">
      <pane xSplit="3" ySplit="3" topLeftCell="D27" activePane="bottomRight" state="frozen"/>
      <selection pane="bottomRight" activeCell="F35" sqref="F35"/>
      <pageMargins left="0" right="0" top="0" bottom="0" header="0.31496062992125984" footer="0.31496062992125984"/>
      <pageSetup paperSize="9" scale="85" orientation="landscape" r:id="rId1"/>
      <headerFooter alignWithMargins="0"/>
    </customSheetView>
    <customSheetView guid="{6C0BD6A7-6718-429D-82D9-D2FE0341EA2C}" showPageBreaks="1" printArea="1" hiddenColumns="1">
      <pane xSplit="3" ySplit="3" topLeftCell="D25" activePane="bottomRight" state="frozen"/>
      <selection pane="bottomRight" activeCell="F43" sqref="F43"/>
      <pageMargins left="0" right="0" top="0" bottom="0" header="0.31496062992125984" footer="0.31496062992125984"/>
      <pageSetup paperSize="9" scale="85" orientation="landscape" r:id="rId2"/>
      <headerFooter alignWithMargins="0"/>
    </customSheetView>
    <customSheetView guid="{594C4AB0-8D5F-4373-9663-410F4413FE3A}" showPageBreaks="1" printArea="1" hiddenColumns="1">
      <pane xSplit="3" ySplit="3" topLeftCell="D13" activePane="bottomRight" state="frozen"/>
      <selection pane="bottomRight" activeCell="I3" sqref="I3"/>
      <pageMargins left="0" right="0" top="0" bottom="0" header="0.31496062992125984" footer="0.31496062992125984"/>
      <pageSetup paperSize="9" scale="85" orientation="landscape" r:id="rId3"/>
      <headerFooter alignWithMargins="0"/>
    </customSheetView>
    <customSheetView guid="{DF69299D-7752-4436-A45D-28F739CEE21B}" showPageBreaks="1" printArea="1" hiddenColumns="1">
      <pane xSplit="3" ySplit="3" topLeftCell="D27" activePane="bottomRight" state="frozen"/>
      <selection pane="bottomRight" activeCell="F35" sqref="F35"/>
      <pageMargins left="0" right="0" top="0" bottom="0" header="0.31496062992125984" footer="0.31496062992125984"/>
      <pageSetup paperSize="9" scale="85" orientation="landscape" r:id="rId4"/>
      <headerFooter alignWithMargins="0"/>
    </customSheetView>
  </customSheetViews>
  <mergeCells count="5">
    <mergeCell ref="D6:F6"/>
    <mergeCell ref="D13:F13"/>
    <mergeCell ref="D26:F26"/>
    <mergeCell ref="D20:F20"/>
    <mergeCell ref="D32:F32"/>
  </mergeCells>
  <phoneticPr fontId="0" type="noConversion"/>
  <pageMargins left="0" right="0" top="0" bottom="0" header="0.31496062992125984" footer="0.31496062992125984"/>
  <pageSetup paperSize="9" scale="85" orientation="landscape" r:id="rId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/>
  <dimension ref="A1:H198"/>
  <sheetViews>
    <sheetView zoomScale="90" zoomScaleNormal="90" workbookViewId="0">
      <pane ySplit="2" topLeftCell="A162" activePane="bottomLeft" state="frozen"/>
      <selection pane="bottomLeft" activeCell="A69" sqref="A69"/>
    </sheetView>
  </sheetViews>
  <sheetFormatPr defaultColWidth="9.21875" defaultRowHeight="10.199999999999999" x14ac:dyDescent="0.2"/>
  <cols>
    <col min="1" max="1" width="9.77734375" style="2" bestFit="1" customWidth="1"/>
    <col min="2" max="2" width="24" style="2" bestFit="1" customWidth="1"/>
    <col min="3" max="3" width="5.77734375" style="4" bestFit="1" customWidth="1"/>
    <col min="4" max="4" width="6.21875" style="2" bestFit="1" customWidth="1"/>
    <col min="5" max="5" width="7" style="2" bestFit="1" customWidth="1"/>
    <col min="6" max="6" width="17.44140625" style="2" bestFit="1" customWidth="1"/>
    <col min="7" max="7" width="19.21875" style="2" bestFit="1" customWidth="1"/>
    <col min="8" max="8" width="18.44140625" style="2" bestFit="1" customWidth="1"/>
    <col min="9" max="16384" width="9.21875" style="2"/>
  </cols>
  <sheetData>
    <row r="1" spans="1:8" ht="10.8" thickBot="1" x14ac:dyDescent="0.25">
      <c r="A1" s="318" t="s">
        <v>647</v>
      </c>
    </row>
    <row r="2" spans="1:8" ht="10.8" thickBot="1" x14ac:dyDescent="0.25">
      <c r="A2" s="319" t="s">
        <v>545</v>
      </c>
      <c r="B2" s="320" t="s">
        <v>1</v>
      </c>
      <c r="C2" s="321"/>
      <c r="D2" s="321" t="s">
        <v>2</v>
      </c>
      <c r="E2" s="321" t="s">
        <v>546</v>
      </c>
      <c r="F2" s="320" t="s">
        <v>542</v>
      </c>
      <c r="G2" s="320" t="s">
        <v>543</v>
      </c>
      <c r="H2" s="322" t="s">
        <v>544</v>
      </c>
    </row>
    <row r="3" spans="1:8" s="4" customFormat="1" ht="17.55" customHeight="1" x14ac:dyDescent="0.2">
      <c r="A3" s="323" t="s">
        <v>648</v>
      </c>
      <c r="B3" s="324" t="s">
        <v>649</v>
      </c>
      <c r="C3" s="325" t="s">
        <v>650</v>
      </c>
      <c r="D3" s="326">
        <v>9</v>
      </c>
      <c r="E3" s="325" t="s">
        <v>651</v>
      </c>
      <c r="F3" s="327" t="s">
        <v>652</v>
      </c>
      <c r="G3" s="327" t="s">
        <v>653</v>
      </c>
      <c r="H3" s="328" t="s">
        <v>654</v>
      </c>
    </row>
    <row r="4" spans="1:8" ht="13.2" customHeight="1" x14ac:dyDescent="0.2">
      <c r="A4" s="329" t="s">
        <v>655</v>
      </c>
      <c r="B4" s="8" t="s">
        <v>656</v>
      </c>
      <c r="C4" s="14" t="s">
        <v>650</v>
      </c>
      <c r="D4" s="330">
        <v>12</v>
      </c>
      <c r="E4" s="14" t="s">
        <v>651</v>
      </c>
      <c r="F4" s="8" t="s">
        <v>657</v>
      </c>
      <c r="G4" s="8" t="s">
        <v>658</v>
      </c>
      <c r="H4" s="331" t="s">
        <v>659</v>
      </c>
    </row>
    <row r="5" spans="1:8" ht="13.2" customHeight="1" x14ac:dyDescent="0.2">
      <c r="A5" s="329" t="s">
        <v>660</v>
      </c>
      <c r="B5" s="8" t="s">
        <v>661</v>
      </c>
      <c r="C5" s="14" t="s">
        <v>650</v>
      </c>
      <c r="D5" s="332">
        <v>15</v>
      </c>
      <c r="E5" s="14" t="s">
        <v>662</v>
      </c>
      <c r="F5" s="8" t="s">
        <v>663</v>
      </c>
      <c r="G5" s="8" t="s">
        <v>664</v>
      </c>
      <c r="H5" s="331" t="s">
        <v>665</v>
      </c>
    </row>
    <row r="6" spans="1:8" ht="13.2" customHeight="1" x14ac:dyDescent="0.2">
      <c r="A6" s="329" t="s">
        <v>666</v>
      </c>
      <c r="B6" s="8" t="s">
        <v>667</v>
      </c>
      <c r="C6" s="14" t="s">
        <v>668</v>
      </c>
      <c r="D6" s="332">
        <v>16</v>
      </c>
      <c r="E6" s="14" t="s">
        <v>669</v>
      </c>
      <c r="F6" s="8"/>
      <c r="G6" s="41" t="s">
        <v>670</v>
      </c>
      <c r="H6" s="331" t="s">
        <v>671</v>
      </c>
    </row>
    <row r="7" spans="1:8" ht="13.2" customHeight="1" x14ac:dyDescent="0.2">
      <c r="A7" s="329" t="s">
        <v>672</v>
      </c>
      <c r="B7" s="8" t="s">
        <v>29</v>
      </c>
      <c r="C7" s="14" t="s">
        <v>668</v>
      </c>
      <c r="D7" s="333">
        <v>17</v>
      </c>
      <c r="E7" s="14" t="s">
        <v>669</v>
      </c>
      <c r="F7" s="8"/>
      <c r="G7" s="41" t="s">
        <v>673</v>
      </c>
      <c r="H7" s="331" t="s">
        <v>674</v>
      </c>
    </row>
    <row r="8" spans="1:8" ht="13.2" customHeight="1" x14ac:dyDescent="0.2">
      <c r="A8" s="329" t="s">
        <v>675</v>
      </c>
      <c r="B8" s="8" t="s">
        <v>29</v>
      </c>
      <c r="C8" s="14" t="s">
        <v>668</v>
      </c>
      <c r="D8" s="332">
        <v>18</v>
      </c>
      <c r="E8" s="14" t="s">
        <v>669</v>
      </c>
      <c r="F8" s="8"/>
      <c r="G8" s="41" t="s">
        <v>676</v>
      </c>
      <c r="H8" s="331" t="s">
        <v>674</v>
      </c>
    </row>
    <row r="9" spans="1:8" ht="13.2" customHeight="1" x14ac:dyDescent="0.2">
      <c r="A9" s="329" t="s">
        <v>677</v>
      </c>
      <c r="B9" s="8" t="s">
        <v>678</v>
      </c>
      <c r="C9" s="14" t="s">
        <v>668</v>
      </c>
      <c r="D9" s="332">
        <v>19</v>
      </c>
      <c r="E9" s="14" t="s">
        <v>669</v>
      </c>
      <c r="F9" s="8"/>
      <c r="G9" s="8" t="s">
        <v>679</v>
      </c>
      <c r="H9" s="331" t="s">
        <v>680</v>
      </c>
    </row>
    <row r="10" spans="1:8" ht="13.2" customHeight="1" x14ac:dyDescent="0.2">
      <c r="A10" s="329" t="s">
        <v>681</v>
      </c>
      <c r="B10" s="8" t="s">
        <v>682</v>
      </c>
      <c r="C10" s="14" t="s">
        <v>668</v>
      </c>
      <c r="D10" s="330">
        <v>20</v>
      </c>
      <c r="E10" s="14" t="s">
        <v>651</v>
      </c>
      <c r="F10" s="8"/>
      <c r="G10" s="8" t="s">
        <v>683</v>
      </c>
      <c r="H10" s="331" t="s">
        <v>684</v>
      </c>
    </row>
    <row r="11" spans="1:8" ht="13.2" customHeight="1" x14ac:dyDescent="0.2">
      <c r="A11" s="329" t="s">
        <v>685</v>
      </c>
      <c r="B11" s="8" t="s">
        <v>29</v>
      </c>
      <c r="C11" s="14" t="s">
        <v>686</v>
      </c>
      <c r="D11" s="330">
        <v>21</v>
      </c>
      <c r="E11" s="14" t="s">
        <v>651</v>
      </c>
      <c r="F11" s="8"/>
      <c r="G11" s="41" t="s">
        <v>687</v>
      </c>
      <c r="H11" s="331" t="s">
        <v>688</v>
      </c>
    </row>
    <row r="12" spans="1:8" ht="13.2" customHeight="1" x14ac:dyDescent="0.2">
      <c r="A12" s="329" t="s">
        <v>689</v>
      </c>
      <c r="B12" s="8" t="s">
        <v>690</v>
      </c>
      <c r="C12" s="14" t="s">
        <v>691</v>
      </c>
      <c r="D12" s="330">
        <v>22</v>
      </c>
      <c r="E12" s="14" t="s">
        <v>651</v>
      </c>
      <c r="F12" s="8" t="s">
        <v>692</v>
      </c>
      <c r="G12" s="8" t="s">
        <v>693</v>
      </c>
      <c r="H12" s="331" t="s">
        <v>694</v>
      </c>
    </row>
    <row r="13" spans="1:8" ht="13.2" customHeight="1" x14ac:dyDescent="0.2">
      <c r="A13" s="329" t="s">
        <v>695</v>
      </c>
      <c r="B13" s="8" t="s">
        <v>696</v>
      </c>
      <c r="C13" s="14" t="s">
        <v>650</v>
      </c>
      <c r="D13" s="330">
        <v>24</v>
      </c>
      <c r="E13" s="14" t="s">
        <v>651</v>
      </c>
      <c r="F13" s="41" t="s">
        <v>697</v>
      </c>
      <c r="G13" s="8" t="s">
        <v>698</v>
      </c>
      <c r="H13" s="331" t="s">
        <v>699</v>
      </c>
    </row>
    <row r="14" spans="1:8" ht="13.2" customHeight="1" x14ac:dyDescent="0.2">
      <c r="A14" s="329" t="s">
        <v>700</v>
      </c>
      <c r="B14" s="8" t="s">
        <v>656</v>
      </c>
      <c r="C14" s="14" t="s">
        <v>650</v>
      </c>
      <c r="D14" s="330">
        <v>25</v>
      </c>
      <c r="E14" s="14" t="s">
        <v>651</v>
      </c>
      <c r="F14" s="8" t="s">
        <v>701</v>
      </c>
      <c r="G14" s="8" t="s">
        <v>702</v>
      </c>
      <c r="H14" s="331" t="s">
        <v>703</v>
      </c>
    </row>
    <row r="15" spans="1:8" ht="13.2" customHeight="1" x14ac:dyDescent="0.2">
      <c r="A15" s="329" t="s">
        <v>704</v>
      </c>
      <c r="B15" s="8" t="s">
        <v>705</v>
      </c>
      <c r="C15" s="14" t="s">
        <v>706</v>
      </c>
      <c r="D15" s="330">
        <v>27</v>
      </c>
      <c r="E15" s="14" t="s">
        <v>651</v>
      </c>
      <c r="F15" s="8" t="s">
        <v>707</v>
      </c>
      <c r="G15" s="41" t="s">
        <v>708</v>
      </c>
      <c r="H15" s="331" t="s">
        <v>709</v>
      </c>
    </row>
    <row r="16" spans="1:8" x14ac:dyDescent="0.2">
      <c r="A16" s="329" t="s">
        <v>710</v>
      </c>
      <c r="B16" s="8" t="s">
        <v>705</v>
      </c>
      <c r="C16" s="14" t="s">
        <v>706</v>
      </c>
      <c r="D16" s="332">
        <v>28</v>
      </c>
      <c r="E16" s="14" t="s">
        <v>711</v>
      </c>
      <c r="F16" s="8" t="s">
        <v>712</v>
      </c>
      <c r="G16" s="41" t="s">
        <v>713</v>
      </c>
      <c r="H16" s="331" t="s">
        <v>714</v>
      </c>
    </row>
    <row r="17" spans="1:8" ht="13.2" customHeight="1" x14ac:dyDescent="0.2">
      <c r="A17" s="329" t="s">
        <v>715</v>
      </c>
      <c r="B17" s="8" t="s">
        <v>716</v>
      </c>
      <c r="C17" s="14" t="s">
        <v>650</v>
      </c>
      <c r="D17" s="330">
        <v>31</v>
      </c>
      <c r="E17" s="14" t="s">
        <v>651</v>
      </c>
      <c r="F17" s="8" t="s">
        <v>717</v>
      </c>
      <c r="G17" s="8" t="s">
        <v>718</v>
      </c>
      <c r="H17" s="331" t="s">
        <v>719</v>
      </c>
    </row>
    <row r="18" spans="1:8" ht="13.2" customHeight="1" x14ac:dyDescent="0.2">
      <c r="A18" s="329" t="s">
        <v>720</v>
      </c>
      <c r="B18" s="8" t="s">
        <v>716</v>
      </c>
      <c r="C18" s="14" t="s">
        <v>650</v>
      </c>
      <c r="D18" s="332">
        <v>32</v>
      </c>
      <c r="E18" s="14" t="s">
        <v>721</v>
      </c>
      <c r="F18" s="8" t="s">
        <v>722</v>
      </c>
      <c r="G18" s="8" t="s">
        <v>723</v>
      </c>
      <c r="H18" s="331" t="s">
        <v>719</v>
      </c>
    </row>
    <row r="19" spans="1:8" ht="13.2" customHeight="1" x14ac:dyDescent="0.2">
      <c r="A19" s="329" t="s">
        <v>724</v>
      </c>
      <c r="B19" s="8" t="s">
        <v>716</v>
      </c>
      <c r="C19" s="14" t="s">
        <v>650</v>
      </c>
      <c r="D19" s="330">
        <v>34</v>
      </c>
      <c r="E19" s="14" t="s">
        <v>651</v>
      </c>
      <c r="F19" s="8" t="s">
        <v>725</v>
      </c>
      <c r="G19" s="8" t="s">
        <v>726</v>
      </c>
      <c r="H19" s="331" t="s">
        <v>727</v>
      </c>
    </row>
    <row r="20" spans="1:8" ht="13.2" customHeight="1" x14ac:dyDescent="0.2">
      <c r="A20" s="329" t="s">
        <v>728</v>
      </c>
      <c r="B20" s="8" t="s">
        <v>716</v>
      </c>
      <c r="C20" s="14" t="s">
        <v>650</v>
      </c>
      <c r="D20" s="330">
        <v>42</v>
      </c>
      <c r="E20" s="14" t="s">
        <v>651</v>
      </c>
      <c r="F20" s="8" t="s">
        <v>729</v>
      </c>
      <c r="G20" s="8" t="s">
        <v>730</v>
      </c>
      <c r="H20" s="331" t="s">
        <v>731</v>
      </c>
    </row>
    <row r="21" spans="1:8" ht="13.2" customHeight="1" x14ac:dyDescent="0.2">
      <c r="A21" s="329" t="s">
        <v>732</v>
      </c>
      <c r="B21" s="8" t="s">
        <v>733</v>
      </c>
      <c r="C21" s="14" t="s">
        <v>706</v>
      </c>
      <c r="D21" s="332">
        <v>44</v>
      </c>
      <c r="E21" s="14" t="s">
        <v>20</v>
      </c>
      <c r="F21" s="8" t="s">
        <v>734</v>
      </c>
      <c r="G21" s="8" t="s">
        <v>735</v>
      </c>
      <c r="H21" s="331" t="s">
        <v>736</v>
      </c>
    </row>
    <row r="22" spans="1:8" ht="13.2" customHeight="1" x14ac:dyDescent="0.2">
      <c r="A22" s="329" t="s">
        <v>737</v>
      </c>
      <c r="B22" s="8" t="s">
        <v>733</v>
      </c>
      <c r="C22" s="14" t="s">
        <v>706</v>
      </c>
      <c r="D22" s="332">
        <v>45</v>
      </c>
      <c r="E22" s="14" t="s">
        <v>20</v>
      </c>
      <c r="F22" s="41" t="s">
        <v>738</v>
      </c>
      <c r="G22" s="8" t="s">
        <v>739</v>
      </c>
      <c r="H22" s="331" t="s">
        <v>740</v>
      </c>
    </row>
    <row r="23" spans="1:8" x14ac:dyDescent="0.2">
      <c r="A23" s="329" t="s">
        <v>741</v>
      </c>
      <c r="B23" s="8" t="s">
        <v>733</v>
      </c>
      <c r="C23" s="14" t="s">
        <v>706</v>
      </c>
      <c r="D23" s="332">
        <v>46</v>
      </c>
      <c r="E23" s="14" t="s">
        <v>742</v>
      </c>
      <c r="F23" s="41" t="s">
        <v>743</v>
      </c>
      <c r="G23" s="8" t="s">
        <v>744</v>
      </c>
      <c r="H23" s="331" t="s">
        <v>745</v>
      </c>
    </row>
    <row r="24" spans="1:8" ht="13.2" customHeight="1" x14ac:dyDescent="0.2">
      <c r="A24" s="329" t="s">
        <v>746</v>
      </c>
      <c r="B24" s="8" t="s">
        <v>733</v>
      </c>
      <c r="C24" s="14" t="s">
        <v>706</v>
      </c>
      <c r="D24" s="332">
        <v>47</v>
      </c>
      <c r="E24" s="14" t="s">
        <v>20</v>
      </c>
      <c r="F24" s="8" t="s">
        <v>747</v>
      </c>
      <c r="G24" s="8" t="s">
        <v>748</v>
      </c>
      <c r="H24" s="331" t="s">
        <v>749</v>
      </c>
    </row>
    <row r="25" spans="1:8" ht="13.2" customHeight="1" x14ac:dyDescent="0.2">
      <c r="A25" s="329" t="s">
        <v>750</v>
      </c>
      <c r="B25" s="8" t="s">
        <v>733</v>
      </c>
      <c r="C25" s="14" t="s">
        <v>706</v>
      </c>
      <c r="D25" s="332">
        <v>48</v>
      </c>
      <c r="E25" s="14" t="s">
        <v>20</v>
      </c>
      <c r="F25" s="41" t="s">
        <v>751</v>
      </c>
      <c r="G25" s="8" t="s">
        <v>752</v>
      </c>
      <c r="H25" s="331" t="s">
        <v>749</v>
      </c>
    </row>
    <row r="26" spans="1:8" ht="13.2" customHeight="1" x14ac:dyDescent="0.2">
      <c r="A26" s="329" t="s">
        <v>753</v>
      </c>
      <c r="B26" s="8" t="s">
        <v>754</v>
      </c>
      <c r="C26" s="14" t="s">
        <v>755</v>
      </c>
      <c r="D26" s="332">
        <v>49</v>
      </c>
      <c r="E26" s="14" t="s">
        <v>20</v>
      </c>
      <c r="F26" s="8" t="s">
        <v>756</v>
      </c>
      <c r="G26" s="8" t="s">
        <v>757</v>
      </c>
      <c r="H26" s="331" t="s">
        <v>758</v>
      </c>
    </row>
    <row r="27" spans="1:8" ht="13.2" customHeight="1" x14ac:dyDescent="0.2">
      <c r="A27" s="329" t="s">
        <v>759</v>
      </c>
      <c r="B27" s="8" t="s">
        <v>760</v>
      </c>
      <c r="C27" s="14" t="s">
        <v>706</v>
      </c>
      <c r="D27" s="332">
        <v>50</v>
      </c>
      <c r="E27" s="14" t="s">
        <v>20</v>
      </c>
      <c r="F27" s="8" t="s">
        <v>761</v>
      </c>
      <c r="G27" s="8" t="s">
        <v>762</v>
      </c>
      <c r="H27" s="331" t="s">
        <v>763</v>
      </c>
    </row>
    <row r="28" spans="1:8" ht="13.2" customHeight="1" x14ac:dyDescent="0.2">
      <c r="A28" s="329" t="s">
        <v>764</v>
      </c>
      <c r="B28" s="8" t="s">
        <v>765</v>
      </c>
      <c r="C28" s="14" t="s">
        <v>706</v>
      </c>
      <c r="D28" s="334">
        <v>51</v>
      </c>
      <c r="E28" s="14" t="s">
        <v>20</v>
      </c>
      <c r="F28" s="8" t="s">
        <v>766</v>
      </c>
      <c r="G28" s="41" t="s">
        <v>767</v>
      </c>
      <c r="H28" s="331" t="s">
        <v>768</v>
      </c>
    </row>
    <row r="29" spans="1:8" ht="13.2" customHeight="1" x14ac:dyDescent="0.2">
      <c r="A29" s="329" t="s">
        <v>769</v>
      </c>
      <c r="B29" s="8" t="s">
        <v>770</v>
      </c>
      <c r="C29" s="14" t="s">
        <v>706</v>
      </c>
      <c r="D29" s="332">
        <v>52</v>
      </c>
      <c r="E29" s="14" t="s">
        <v>20</v>
      </c>
      <c r="F29" s="8" t="s">
        <v>771</v>
      </c>
      <c r="G29" s="8" t="s">
        <v>772</v>
      </c>
      <c r="H29" s="331" t="s">
        <v>773</v>
      </c>
    </row>
    <row r="30" spans="1:8" ht="13.2" customHeight="1" x14ac:dyDescent="0.2">
      <c r="A30" s="329" t="s">
        <v>774</v>
      </c>
      <c r="B30" s="8" t="s">
        <v>775</v>
      </c>
      <c r="C30" s="14" t="s">
        <v>706</v>
      </c>
      <c r="D30" s="332">
        <v>53</v>
      </c>
      <c r="E30" s="14" t="s">
        <v>20</v>
      </c>
      <c r="F30" s="8" t="s">
        <v>776</v>
      </c>
      <c r="G30" s="41" t="s">
        <v>777</v>
      </c>
      <c r="H30" s="331" t="s">
        <v>778</v>
      </c>
    </row>
    <row r="31" spans="1:8" ht="13.2" customHeight="1" x14ac:dyDescent="0.2">
      <c r="A31" s="329" t="s">
        <v>779</v>
      </c>
      <c r="B31" s="8" t="s">
        <v>69</v>
      </c>
      <c r="C31" s="14" t="s">
        <v>780</v>
      </c>
      <c r="D31" s="333">
        <v>54</v>
      </c>
      <c r="E31" s="14" t="s">
        <v>20</v>
      </c>
      <c r="F31" s="41" t="s">
        <v>781</v>
      </c>
      <c r="G31" s="41" t="s">
        <v>782</v>
      </c>
      <c r="H31" s="331" t="s">
        <v>783</v>
      </c>
    </row>
    <row r="32" spans="1:8" ht="13.2" customHeight="1" x14ac:dyDescent="0.2">
      <c r="A32" s="329" t="s">
        <v>784</v>
      </c>
      <c r="B32" s="8" t="s">
        <v>785</v>
      </c>
      <c r="C32" s="14" t="s">
        <v>755</v>
      </c>
      <c r="D32" s="332">
        <v>55</v>
      </c>
      <c r="E32" s="14" t="s">
        <v>20</v>
      </c>
      <c r="F32" s="8" t="s">
        <v>786</v>
      </c>
      <c r="G32" s="8" t="s">
        <v>787</v>
      </c>
      <c r="H32" s="331" t="s">
        <v>788</v>
      </c>
    </row>
    <row r="33" spans="1:8" ht="13.2" customHeight="1" x14ac:dyDescent="0.2">
      <c r="A33" s="329" t="s">
        <v>789</v>
      </c>
      <c r="B33" s="8" t="s">
        <v>667</v>
      </c>
      <c r="C33" s="14" t="s">
        <v>668</v>
      </c>
      <c r="D33" s="333">
        <v>56</v>
      </c>
      <c r="E33" s="14" t="s">
        <v>20</v>
      </c>
      <c r="F33" s="8"/>
      <c r="G33" s="41" t="s">
        <v>790</v>
      </c>
      <c r="H33" s="331" t="s">
        <v>791</v>
      </c>
    </row>
    <row r="34" spans="1:8" ht="13.2" customHeight="1" x14ac:dyDescent="0.2">
      <c r="A34" s="329" t="s">
        <v>792</v>
      </c>
      <c r="B34" s="8" t="s">
        <v>667</v>
      </c>
      <c r="C34" s="14" t="s">
        <v>668</v>
      </c>
      <c r="D34" s="333">
        <v>57</v>
      </c>
      <c r="E34" s="14" t="s">
        <v>20</v>
      </c>
      <c r="F34" s="8"/>
      <c r="G34" s="41" t="s">
        <v>793</v>
      </c>
      <c r="H34" s="331" t="s">
        <v>794</v>
      </c>
    </row>
    <row r="35" spans="1:8" ht="13.2" customHeight="1" x14ac:dyDescent="0.2">
      <c r="A35" s="329" t="s">
        <v>795</v>
      </c>
      <c r="B35" s="8" t="s">
        <v>29</v>
      </c>
      <c r="C35" s="14" t="s">
        <v>668</v>
      </c>
      <c r="D35" s="333">
        <v>58</v>
      </c>
      <c r="E35" s="14" t="s">
        <v>20</v>
      </c>
      <c r="F35" s="8"/>
      <c r="G35" s="41" t="s">
        <v>796</v>
      </c>
      <c r="H35" s="331" t="s">
        <v>797</v>
      </c>
    </row>
    <row r="36" spans="1:8" ht="13.2" customHeight="1" x14ac:dyDescent="0.2">
      <c r="A36" s="329" t="s">
        <v>798</v>
      </c>
      <c r="B36" s="8" t="s">
        <v>799</v>
      </c>
      <c r="C36" s="14" t="s">
        <v>668</v>
      </c>
      <c r="D36" s="333">
        <v>59</v>
      </c>
      <c r="E36" s="14" t="s">
        <v>20</v>
      </c>
      <c r="F36" s="8"/>
      <c r="G36" s="8" t="s">
        <v>800</v>
      </c>
      <c r="H36" s="331" t="s">
        <v>801</v>
      </c>
    </row>
    <row r="37" spans="1:8" ht="13.2" customHeight="1" x14ac:dyDescent="0.2">
      <c r="A37" s="329" t="s">
        <v>802</v>
      </c>
      <c r="B37" s="8" t="s">
        <v>678</v>
      </c>
      <c r="C37" s="14" t="s">
        <v>668</v>
      </c>
      <c r="D37" s="333">
        <v>60</v>
      </c>
      <c r="E37" s="14" t="s">
        <v>20</v>
      </c>
      <c r="F37" s="8"/>
      <c r="G37" s="8" t="s">
        <v>803</v>
      </c>
      <c r="H37" s="331" t="s">
        <v>804</v>
      </c>
    </row>
    <row r="38" spans="1:8" ht="13.2" customHeight="1" x14ac:dyDescent="0.2">
      <c r="A38" s="329" t="s">
        <v>805</v>
      </c>
      <c r="B38" s="8" t="s">
        <v>806</v>
      </c>
      <c r="C38" s="14" t="s">
        <v>650</v>
      </c>
      <c r="D38" s="330">
        <v>64</v>
      </c>
      <c r="E38" s="14" t="s">
        <v>651</v>
      </c>
      <c r="F38" s="41" t="s">
        <v>807</v>
      </c>
      <c r="G38" s="8" t="s">
        <v>808</v>
      </c>
      <c r="H38" s="331" t="s">
        <v>809</v>
      </c>
    </row>
    <row r="39" spans="1:8" ht="13.2" customHeight="1" x14ac:dyDescent="0.2">
      <c r="A39" s="329" t="s">
        <v>810</v>
      </c>
      <c r="B39" s="8" t="s">
        <v>811</v>
      </c>
      <c r="C39" s="14" t="s">
        <v>650</v>
      </c>
      <c r="D39" s="330">
        <v>65</v>
      </c>
      <c r="E39" s="14" t="s">
        <v>651</v>
      </c>
      <c r="F39" s="8" t="s">
        <v>812</v>
      </c>
      <c r="G39" s="8" t="s">
        <v>813</v>
      </c>
      <c r="H39" s="331" t="s">
        <v>814</v>
      </c>
    </row>
    <row r="40" spans="1:8" ht="13.2" customHeight="1" x14ac:dyDescent="0.2">
      <c r="A40" s="329" t="s">
        <v>815</v>
      </c>
      <c r="B40" s="8" t="s">
        <v>811</v>
      </c>
      <c r="C40" s="14" t="s">
        <v>650</v>
      </c>
      <c r="D40" s="330">
        <v>66</v>
      </c>
      <c r="E40" s="14" t="s">
        <v>651</v>
      </c>
      <c r="F40" s="41" t="s">
        <v>816</v>
      </c>
      <c r="G40" s="8" t="s">
        <v>817</v>
      </c>
      <c r="H40" s="331" t="s">
        <v>818</v>
      </c>
    </row>
    <row r="41" spans="1:8" ht="13.2" customHeight="1" x14ac:dyDescent="0.2">
      <c r="A41" s="329" t="s">
        <v>819</v>
      </c>
      <c r="B41" s="8" t="s">
        <v>656</v>
      </c>
      <c r="C41" s="14" t="s">
        <v>650</v>
      </c>
      <c r="D41" s="330">
        <v>67</v>
      </c>
      <c r="E41" s="14" t="s">
        <v>651</v>
      </c>
      <c r="F41" s="8" t="s">
        <v>820</v>
      </c>
      <c r="G41" s="8" t="s">
        <v>821</v>
      </c>
      <c r="H41" s="331" t="s">
        <v>822</v>
      </c>
    </row>
    <row r="42" spans="1:8" ht="13.2" customHeight="1" x14ac:dyDescent="0.2">
      <c r="A42" s="329" t="s">
        <v>823</v>
      </c>
      <c r="B42" s="8" t="s">
        <v>754</v>
      </c>
      <c r="C42" s="14" t="s">
        <v>755</v>
      </c>
      <c r="D42" s="332">
        <v>72</v>
      </c>
      <c r="E42" s="14" t="s">
        <v>21</v>
      </c>
      <c r="F42" s="8" t="s">
        <v>824</v>
      </c>
      <c r="G42" s="8" t="s">
        <v>825</v>
      </c>
      <c r="H42" s="331" t="s">
        <v>826</v>
      </c>
    </row>
    <row r="43" spans="1:8" x14ac:dyDescent="0.2">
      <c r="A43" s="329" t="s">
        <v>827</v>
      </c>
      <c r="B43" s="8" t="s">
        <v>754</v>
      </c>
      <c r="C43" s="14" t="s">
        <v>755</v>
      </c>
      <c r="D43" s="332">
        <v>73</v>
      </c>
      <c r="E43" s="14" t="s">
        <v>742</v>
      </c>
      <c r="F43" s="8" t="s">
        <v>828</v>
      </c>
      <c r="G43" s="8" t="s">
        <v>829</v>
      </c>
      <c r="H43" s="331" t="s">
        <v>826</v>
      </c>
    </row>
    <row r="44" spans="1:8" ht="13.2" customHeight="1" x14ac:dyDescent="0.2">
      <c r="A44" s="329" t="s">
        <v>830</v>
      </c>
      <c r="B44" s="8" t="s">
        <v>831</v>
      </c>
      <c r="C44" s="14" t="s">
        <v>755</v>
      </c>
      <c r="D44" s="332">
        <v>74</v>
      </c>
      <c r="E44" s="14" t="s">
        <v>21</v>
      </c>
      <c r="F44" s="8" t="s">
        <v>832</v>
      </c>
      <c r="G44" s="8" t="s">
        <v>833</v>
      </c>
      <c r="H44" s="331" t="s">
        <v>834</v>
      </c>
    </row>
    <row r="45" spans="1:8" ht="13.2" customHeight="1" x14ac:dyDescent="0.2">
      <c r="A45" s="329" t="s">
        <v>835</v>
      </c>
      <c r="B45" s="8" t="s">
        <v>831</v>
      </c>
      <c r="C45" s="14" t="s">
        <v>755</v>
      </c>
      <c r="D45" s="332">
        <v>75</v>
      </c>
      <c r="E45" s="14" t="s">
        <v>21</v>
      </c>
      <c r="F45" s="8" t="s">
        <v>836</v>
      </c>
      <c r="G45" s="8" t="s">
        <v>837</v>
      </c>
      <c r="H45" s="331" t="s">
        <v>838</v>
      </c>
    </row>
    <row r="46" spans="1:8" ht="13.2" customHeight="1" x14ac:dyDescent="0.2">
      <c r="A46" s="329" t="s">
        <v>839</v>
      </c>
      <c r="B46" s="8" t="s">
        <v>840</v>
      </c>
      <c r="C46" s="14" t="s">
        <v>691</v>
      </c>
      <c r="D46" s="330">
        <v>76</v>
      </c>
      <c r="E46" s="14" t="s">
        <v>651</v>
      </c>
      <c r="F46" s="8" t="s">
        <v>841</v>
      </c>
      <c r="G46" s="41" t="s">
        <v>842</v>
      </c>
      <c r="H46" s="331" t="s">
        <v>843</v>
      </c>
    </row>
    <row r="47" spans="1:8" ht="13.2" customHeight="1" x14ac:dyDescent="0.2">
      <c r="A47" s="329" t="s">
        <v>844</v>
      </c>
      <c r="B47" s="8" t="s">
        <v>27</v>
      </c>
      <c r="C47" s="14" t="s">
        <v>691</v>
      </c>
      <c r="D47" s="333">
        <v>77</v>
      </c>
      <c r="E47" s="14" t="s">
        <v>21</v>
      </c>
      <c r="F47" s="8" t="s">
        <v>845</v>
      </c>
      <c r="G47" s="8" t="s">
        <v>846</v>
      </c>
      <c r="H47" s="331" t="s">
        <v>847</v>
      </c>
    </row>
    <row r="48" spans="1:8" ht="13.2" customHeight="1" x14ac:dyDescent="0.2">
      <c r="A48" s="329" t="s">
        <v>848</v>
      </c>
      <c r="B48" s="8" t="s">
        <v>27</v>
      </c>
      <c r="C48" s="14" t="s">
        <v>691</v>
      </c>
      <c r="D48" s="333">
        <v>78</v>
      </c>
      <c r="E48" s="14" t="s">
        <v>742</v>
      </c>
      <c r="F48" s="8" t="s">
        <v>849</v>
      </c>
      <c r="G48" s="8" t="s">
        <v>850</v>
      </c>
      <c r="H48" s="331" t="s">
        <v>851</v>
      </c>
    </row>
    <row r="49" spans="1:8" ht="13.2" customHeight="1" x14ac:dyDescent="0.2">
      <c r="A49" s="329" t="s">
        <v>852</v>
      </c>
      <c r="B49" s="8" t="s">
        <v>853</v>
      </c>
      <c r="C49" s="14" t="s">
        <v>691</v>
      </c>
      <c r="D49" s="330">
        <v>80</v>
      </c>
      <c r="E49" s="14" t="s">
        <v>651</v>
      </c>
      <c r="F49" s="8" t="s">
        <v>854</v>
      </c>
      <c r="G49" s="8" t="s">
        <v>855</v>
      </c>
      <c r="H49" s="331" t="s">
        <v>856</v>
      </c>
    </row>
    <row r="50" spans="1:8" ht="13.2" customHeight="1" x14ac:dyDescent="0.2">
      <c r="A50" s="329" t="s">
        <v>857</v>
      </c>
      <c r="B50" s="8" t="s">
        <v>70</v>
      </c>
      <c r="C50" s="14" t="s">
        <v>691</v>
      </c>
      <c r="D50" s="333">
        <v>81</v>
      </c>
      <c r="E50" s="14" t="s">
        <v>21</v>
      </c>
      <c r="F50" s="8" t="s">
        <v>858</v>
      </c>
      <c r="G50" s="41" t="s">
        <v>859</v>
      </c>
      <c r="H50" s="331" t="s">
        <v>860</v>
      </c>
    </row>
    <row r="51" spans="1:8" ht="13.2" customHeight="1" x14ac:dyDescent="0.2">
      <c r="A51" s="329" t="s">
        <v>861</v>
      </c>
      <c r="B51" s="8" t="s">
        <v>27</v>
      </c>
      <c r="C51" s="14" t="s">
        <v>691</v>
      </c>
      <c r="D51" s="333">
        <v>82</v>
      </c>
      <c r="E51" s="14" t="s">
        <v>21</v>
      </c>
      <c r="F51" s="8" t="s">
        <v>862</v>
      </c>
      <c r="G51" s="8" t="s">
        <v>863</v>
      </c>
      <c r="H51" s="331" t="s">
        <v>864</v>
      </c>
    </row>
    <row r="52" spans="1:8" ht="13.2" customHeight="1" x14ac:dyDescent="0.2">
      <c r="A52" s="329" t="s">
        <v>865</v>
      </c>
      <c r="B52" s="8" t="s">
        <v>840</v>
      </c>
      <c r="C52" s="14" t="s">
        <v>691</v>
      </c>
      <c r="D52" s="333">
        <v>83</v>
      </c>
      <c r="E52" s="14" t="s">
        <v>742</v>
      </c>
      <c r="F52" s="8" t="s">
        <v>866</v>
      </c>
      <c r="G52" s="8" t="s">
        <v>867</v>
      </c>
      <c r="H52" s="331" t="s">
        <v>864</v>
      </c>
    </row>
    <row r="53" spans="1:8" ht="13.2" customHeight="1" x14ac:dyDescent="0.2">
      <c r="A53" s="329" t="s">
        <v>868</v>
      </c>
      <c r="B53" s="8" t="s">
        <v>840</v>
      </c>
      <c r="C53" s="14" t="s">
        <v>691</v>
      </c>
      <c r="D53" s="330">
        <v>84</v>
      </c>
      <c r="E53" s="14" t="s">
        <v>651</v>
      </c>
      <c r="F53" s="41" t="s">
        <v>869</v>
      </c>
      <c r="G53" s="8" t="s">
        <v>870</v>
      </c>
      <c r="H53" s="331" t="s">
        <v>871</v>
      </c>
    </row>
    <row r="54" spans="1:8" ht="13.2" customHeight="1" x14ac:dyDescent="0.2">
      <c r="A54" s="329" t="s">
        <v>872</v>
      </c>
      <c r="B54" s="8" t="s">
        <v>873</v>
      </c>
      <c r="C54" s="14" t="s">
        <v>686</v>
      </c>
      <c r="D54" s="333">
        <v>86</v>
      </c>
      <c r="E54" s="14" t="s">
        <v>21</v>
      </c>
      <c r="F54" s="8"/>
      <c r="G54" s="41" t="s">
        <v>874</v>
      </c>
      <c r="H54" s="331" t="s">
        <v>875</v>
      </c>
    </row>
    <row r="55" spans="1:8" ht="13.2" customHeight="1" x14ac:dyDescent="0.2">
      <c r="A55" s="329" t="s">
        <v>876</v>
      </c>
      <c r="B55" s="8" t="s">
        <v>667</v>
      </c>
      <c r="C55" s="14" t="s">
        <v>668</v>
      </c>
      <c r="D55" s="333">
        <v>87</v>
      </c>
      <c r="E55" s="14" t="s">
        <v>21</v>
      </c>
      <c r="F55" s="8"/>
      <c r="G55" s="41" t="s">
        <v>877</v>
      </c>
      <c r="H55" s="331" t="s">
        <v>878</v>
      </c>
    </row>
    <row r="56" spans="1:8" ht="13.2" customHeight="1" x14ac:dyDescent="0.2">
      <c r="A56" s="329" t="s">
        <v>879</v>
      </c>
      <c r="B56" s="8" t="s">
        <v>880</v>
      </c>
      <c r="C56" s="14" t="s">
        <v>706</v>
      </c>
      <c r="D56" s="332">
        <v>88</v>
      </c>
      <c r="E56" s="14" t="s">
        <v>21</v>
      </c>
      <c r="F56" s="8"/>
      <c r="G56" s="41" t="s">
        <v>881</v>
      </c>
      <c r="H56" s="331" t="s">
        <v>882</v>
      </c>
    </row>
    <row r="57" spans="1:8" ht="13.2" customHeight="1" x14ac:dyDescent="0.2">
      <c r="A57" s="329" t="s">
        <v>883</v>
      </c>
      <c r="B57" s="8" t="s">
        <v>884</v>
      </c>
      <c r="C57" s="14" t="s">
        <v>668</v>
      </c>
      <c r="D57" s="333">
        <v>89</v>
      </c>
      <c r="E57" s="14" t="s">
        <v>21</v>
      </c>
      <c r="F57" s="8"/>
      <c r="G57" s="41" t="s">
        <v>885</v>
      </c>
      <c r="H57" s="331" t="s">
        <v>886</v>
      </c>
    </row>
    <row r="58" spans="1:8" ht="13.2" customHeight="1" x14ac:dyDescent="0.2">
      <c r="A58" s="329" t="s">
        <v>887</v>
      </c>
      <c r="B58" s="8" t="s">
        <v>884</v>
      </c>
      <c r="C58" s="14" t="s">
        <v>668</v>
      </c>
      <c r="D58" s="333">
        <v>90</v>
      </c>
      <c r="E58" s="14" t="s">
        <v>21</v>
      </c>
      <c r="F58" s="8"/>
      <c r="G58" s="41" t="s">
        <v>888</v>
      </c>
      <c r="H58" s="331" t="s">
        <v>889</v>
      </c>
    </row>
    <row r="59" spans="1:8" ht="13.2" customHeight="1" x14ac:dyDescent="0.2">
      <c r="A59" s="329" t="s">
        <v>890</v>
      </c>
      <c r="B59" s="8" t="s">
        <v>884</v>
      </c>
      <c r="C59" s="14" t="s">
        <v>686</v>
      </c>
      <c r="D59" s="333">
        <v>91</v>
      </c>
      <c r="E59" s="14" t="s">
        <v>21</v>
      </c>
      <c r="F59" s="8"/>
      <c r="G59" s="41" t="s">
        <v>888</v>
      </c>
      <c r="H59" s="331" t="s">
        <v>891</v>
      </c>
    </row>
    <row r="60" spans="1:8" ht="13.2" customHeight="1" x14ac:dyDescent="0.2">
      <c r="A60" s="329" t="s">
        <v>892</v>
      </c>
      <c r="B60" s="8" t="s">
        <v>893</v>
      </c>
      <c r="C60" s="14" t="s">
        <v>668</v>
      </c>
      <c r="D60" s="330">
        <v>92</v>
      </c>
      <c r="E60" s="14" t="s">
        <v>651</v>
      </c>
      <c r="F60" s="8"/>
      <c r="G60" s="41" t="s">
        <v>894</v>
      </c>
      <c r="H60" s="331" t="s">
        <v>856</v>
      </c>
    </row>
    <row r="61" spans="1:8" ht="13.2" customHeight="1" x14ac:dyDescent="0.2">
      <c r="A61" s="329" t="s">
        <v>895</v>
      </c>
      <c r="B61" s="8" t="s">
        <v>880</v>
      </c>
      <c r="C61" s="14" t="s">
        <v>668</v>
      </c>
      <c r="D61" s="333">
        <v>94</v>
      </c>
      <c r="E61" s="14" t="s">
        <v>742</v>
      </c>
      <c r="F61" s="8"/>
      <c r="G61" s="41" t="s">
        <v>896</v>
      </c>
      <c r="H61" s="331" t="s">
        <v>897</v>
      </c>
    </row>
    <row r="62" spans="1:8" ht="13.2" customHeight="1" x14ac:dyDescent="0.2">
      <c r="A62" s="329" t="s">
        <v>898</v>
      </c>
      <c r="B62" s="8" t="s">
        <v>899</v>
      </c>
      <c r="C62" s="14" t="s">
        <v>668</v>
      </c>
      <c r="D62" s="330">
        <v>95</v>
      </c>
      <c r="E62" s="14" t="s">
        <v>651</v>
      </c>
      <c r="F62" s="8"/>
      <c r="G62" s="8" t="s">
        <v>900</v>
      </c>
      <c r="H62" s="331" t="s">
        <v>901</v>
      </c>
    </row>
    <row r="63" spans="1:8" ht="13.2" customHeight="1" x14ac:dyDescent="0.2">
      <c r="A63" s="329" t="s">
        <v>902</v>
      </c>
      <c r="B63" s="8" t="s">
        <v>29</v>
      </c>
      <c r="C63" s="14" t="s">
        <v>668</v>
      </c>
      <c r="D63" s="333">
        <v>97</v>
      </c>
      <c r="E63" s="14" t="s">
        <v>742</v>
      </c>
      <c r="F63" s="8"/>
      <c r="G63" s="41" t="s">
        <v>903</v>
      </c>
      <c r="H63" s="331" t="s">
        <v>904</v>
      </c>
    </row>
    <row r="64" spans="1:8" ht="13.2" customHeight="1" x14ac:dyDescent="0.2">
      <c r="A64" s="329" t="s">
        <v>905</v>
      </c>
      <c r="B64" s="8" t="s">
        <v>906</v>
      </c>
      <c r="C64" s="14" t="s">
        <v>668</v>
      </c>
      <c r="D64" s="333">
        <v>98</v>
      </c>
      <c r="E64" s="14" t="s">
        <v>742</v>
      </c>
      <c r="F64" s="8"/>
      <c r="G64" s="8" t="s">
        <v>907</v>
      </c>
      <c r="H64" s="331" t="s">
        <v>908</v>
      </c>
    </row>
    <row r="65" spans="1:8" ht="13.2" customHeight="1" x14ac:dyDescent="0.2">
      <c r="A65" s="329" t="s">
        <v>909</v>
      </c>
      <c r="B65" s="8" t="s">
        <v>69</v>
      </c>
      <c r="C65" s="14" t="s">
        <v>780</v>
      </c>
      <c r="D65" s="333">
        <v>99</v>
      </c>
      <c r="E65" s="14" t="s">
        <v>21</v>
      </c>
      <c r="F65" s="41" t="s">
        <v>910</v>
      </c>
      <c r="G65" s="41" t="s">
        <v>911</v>
      </c>
      <c r="H65" s="331" t="s">
        <v>912</v>
      </c>
    </row>
    <row r="66" spans="1:8" ht="13.2" customHeight="1" x14ac:dyDescent="0.2">
      <c r="A66" s="329" t="s">
        <v>913</v>
      </c>
      <c r="B66" s="8" t="s">
        <v>914</v>
      </c>
      <c r="C66" s="14" t="s">
        <v>668</v>
      </c>
      <c r="D66" s="333">
        <v>100</v>
      </c>
      <c r="E66" s="14" t="s">
        <v>21</v>
      </c>
      <c r="F66" s="8"/>
      <c r="G66" s="41" t="s">
        <v>877</v>
      </c>
      <c r="H66" s="331" t="s">
        <v>878</v>
      </c>
    </row>
    <row r="67" spans="1:8" ht="13.2" customHeight="1" x14ac:dyDescent="0.2">
      <c r="A67" s="329" t="s">
        <v>915</v>
      </c>
      <c r="B67" s="8" t="s">
        <v>29</v>
      </c>
      <c r="C67" s="14" t="s">
        <v>668</v>
      </c>
      <c r="D67" s="333">
        <v>101</v>
      </c>
      <c r="E67" s="14" t="s">
        <v>21</v>
      </c>
      <c r="F67" s="8"/>
      <c r="G67" s="41" t="s">
        <v>916</v>
      </c>
      <c r="H67" s="331" t="s">
        <v>917</v>
      </c>
    </row>
    <row r="68" spans="1:8" ht="13.2" customHeight="1" x14ac:dyDescent="0.2">
      <c r="A68" s="329" t="s">
        <v>1459</v>
      </c>
      <c r="B68" s="8" t="s">
        <v>64</v>
      </c>
      <c r="C68" s="14" t="s">
        <v>918</v>
      </c>
      <c r="D68" s="333">
        <v>102</v>
      </c>
      <c r="E68" s="14" t="s">
        <v>21</v>
      </c>
      <c r="F68" s="41" t="s">
        <v>919</v>
      </c>
      <c r="G68" s="41" t="s">
        <v>920</v>
      </c>
      <c r="H68" s="331" t="s">
        <v>921</v>
      </c>
    </row>
    <row r="69" spans="1:8" ht="13.2" customHeight="1" x14ac:dyDescent="0.2">
      <c r="A69" s="329" t="s">
        <v>922</v>
      </c>
      <c r="B69" s="8" t="s">
        <v>65</v>
      </c>
      <c r="C69" s="14" t="s">
        <v>918</v>
      </c>
      <c r="D69" s="333">
        <v>103</v>
      </c>
      <c r="E69" s="14" t="s">
        <v>21</v>
      </c>
      <c r="F69" s="8" t="s">
        <v>923</v>
      </c>
      <c r="G69" s="41" t="s">
        <v>924</v>
      </c>
      <c r="H69" s="331" t="s">
        <v>925</v>
      </c>
    </row>
    <row r="70" spans="1:8" ht="13.2" customHeight="1" x14ac:dyDescent="0.2">
      <c r="A70" s="329" t="s">
        <v>926</v>
      </c>
      <c r="B70" s="8" t="s">
        <v>927</v>
      </c>
      <c r="C70" s="14" t="s">
        <v>668</v>
      </c>
      <c r="D70" s="333">
        <v>104</v>
      </c>
      <c r="E70" s="14" t="s">
        <v>21</v>
      </c>
      <c r="F70" s="8"/>
      <c r="G70" s="41" t="s">
        <v>928</v>
      </c>
      <c r="H70" s="331" t="s">
        <v>929</v>
      </c>
    </row>
    <row r="71" spans="1:8" ht="13.2" customHeight="1" x14ac:dyDescent="0.2">
      <c r="A71" s="329" t="s">
        <v>930</v>
      </c>
      <c r="B71" s="8" t="s">
        <v>931</v>
      </c>
      <c r="C71" s="14" t="s">
        <v>668</v>
      </c>
      <c r="D71" s="333">
        <v>105</v>
      </c>
      <c r="E71" s="14" t="s">
        <v>21</v>
      </c>
      <c r="F71" s="8"/>
      <c r="G71" s="8" t="s">
        <v>932</v>
      </c>
      <c r="H71" s="331" t="s">
        <v>933</v>
      </c>
    </row>
    <row r="72" spans="1:8" ht="13.2" customHeight="1" x14ac:dyDescent="0.2">
      <c r="A72" s="329" t="s">
        <v>934</v>
      </c>
      <c r="B72" s="8" t="s">
        <v>935</v>
      </c>
      <c r="C72" s="14" t="s">
        <v>668</v>
      </c>
      <c r="D72" s="333">
        <v>106</v>
      </c>
      <c r="E72" s="14" t="s">
        <v>21</v>
      </c>
      <c r="F72" s="8"/>
      <c r="G72" s="8" t="s">
        <v>936</v>
      </c>
      <c r="H72" s="331" t="s">
        <v>937</v>
      </c>
    </row>
    <row r="73" spans="1:8" ht="13.2" customHeight="1" x14ac:dyDescent="0.2">
      <c r="A73" s="329" t="s">
        <v>938</v>
      </c>
      <c r="B73" s="8" t="s">
        <v>66</v>
      </c>
      <c r="C73" s="14" t="s">
        <v>918</v>
      </c>
      <c r="D73" s="333">
        <v>108</v>
      </c>
      <c r="E73" s="14" t="s">
        <v>21</v>
      </c>
      <c r="F73" s="8" t="s">
        <v>939</v>
      </c>
      <c r="G73" s="41" t="s">
        <v>940</v>
      </c>
      <c r="H73" s="331" t="s">
        <v>941</v>
      </c>
    </row>
    <row r="74" spans="1:8" ht="13.2" customHeight="1" x14ac:dyDescent="0.2">
      <c r="A74" s="329" t="s">
        <v>942</v>
      </c>
      <c r="B74" s="8" t="s">
        <v>67</v>
      </c>
      <c r="C74" s="14" t="s">
        <v>918</v>
      </c>
      <c r="D74" s="333">
        <v>109</v>
      </c>
      <c r="E74" s="14" t="s">
        <v>21</v>
      </c>
      <c r="F74" s="41" t="s">
        <v>943</v>
      </c>
      <c r="G74" s="8" t="s">
        <v>944</v>
      </c>
      <c r="H74" s="331" t="s">
        <v>945</v>
      </c>
    </row>
    <row r="75" spans="1:8" x14ac:dyDescent="0.2">
      <c r="A75" s="329" t="s">
        <v>946</v>
      </c>
      <c r="B75" s="8" t="s">
        <v>947</v>
      </c>
      <c r="C75" s="14" t="s">
        <v>706</v>
      </c>
      <c r="D75" s="332">
        <v>110</v>
      </c>
      <c r="E75" s="14" t="s">
        <v>21</v>
      </c>
      <c r="F75" s="8" t="s">
        <v>948</v>
      </c>
      <c r="G75" s="8" t="s">
        <v>949</v>
      </c>
      <c r="H75" s="331" t="s">
        <v>950</v>
      </c>
    </row>
    <row r="76" spans="1:8" ht="13.2" customHeight="1" x14ac:dyDescent="0.2">
      <c r="A76" s="329" t="s">
        <v>951</v>
      </c>
      <c r="B76" s="8" t="s">
        <v>765</v>
      </c>
      <c r="C76" s="14"/>
      <c r="D76" s="330">
        <v>111</v>
      </c>
      <c r="E76" s="14" t="s">
        <v>651</v>
      </c>
      <c r="F76" s="41" t="s">
        <v>952</v>
      </c>
      <c r="G76" s="8" t="s">
        <v>953</v>
      </c>
      <c r="H76" s="331" t="s">
        <v>954</v>
      </c>
    </row>
    <row r="77" spans="1:8" ht="13.2" customHeight="1" x14ac:dyDescent="0.2">
      <c r="A77" s="329" t="s">
        <v>955</v>
      </c>
      <c r="B77" s="8" t="s">
        <v>733</v>
      </c>
      <c r="C77" s="14"/>
      <c r="D77" s="330">
        <v>114</v>
      </c>
      <c r="E77" s="14" t="s">
        <v>651</v>
      </c>
      <c r="F77" s="8" t="s">
        <v>956</v>
      </c>
      <c r="G77" s="41" t="s">
        <v>957</v>
      </c>
      <c r="H77" s="331" t="s">
        <v>958</v>
      </c>
    </row>
    <row r="78" spans="1:8" x14ac:dyDescent="0.2">
      <c r="A78" s="329" t="s">
        <v>959</v>
      </c>
      <c r="B78" s="8" t="s">
        <v>733</v>
      </c>
      <c r="C78" s="14" t="s">
        <v>706</v>
      </c>
      <c r="D78" s="332">
        <v>115</v>
      </c>
      <c r="E78" s="14" t="s">
        <v>21</v>
      </c>
      <c r="F78" s="8" t="s">
        <v>960</v>
      </c>
      <c r="G78" s="8" t="s">
        <v>961</v>
      </c>
      <c r="H78" s="331" t="s">
        <v>962</v>
      </c>
    </row>
    <row r="79" spans="1:8" x14ac:dyDescent="0.2">
      <c r="A79" s="329" t="s">
        <v>963</v>
      </c>
      <c r="B79" s="8" t="s">
        <v>831</v>
      </c>
      <c r="C79" s="14" t="s">
        <v>755</v>
      </c>
      <c r="D79" s="332">
        <v>116</v>
      </c>
      <c r="E79" s="14" t="s">
        <v>742</v>
      </c>
      <c r="F79" s="8" t="s">
        <v>964</v>
      </c>
      <c r="G79" s="8" t="s">
        <v>965</v>
      </c>
      <c r="H79" s="331" t="s">
        <v>788</v>
      </c>
    </row>
    <row r="80" spans="1:8" ht="13.95" customHeight="1" x14ac:dyDescent="0.2">
      <c r="A80" s="329" t="s">
        <v>966</v>
      </c>
      <c r="B80" s="8" t="s">
        <v>25</v>
      </c>
      <c r="C80" s="14" t="s">
        <v>918</v>
      </c>
      <c r="D80" s="333">
        <v>117</v>
      </c>
      <c r="E80" s="14" t="s">
        <v>21</v>
      </c>
      <c r="F80" s="8" t="s">
        <v>967</v>
      </c>
      <c r="G80" s="41" t="s">
        <v>968</v>
      </c>
      <c r="H80" s="331" t="s">
        <v>969</v>
      </c>
    </row>
    <row r="81" spans="1:8" ht="13.2" customHeight="1" x14ac:dyDescent="0.2">
      <c r="A81" s="329" t="s">
        <v>970</v>
      </c>
      <c r="B81" s="8" t="s">
        <v>25</v>
      </c>
      <c r="C81" s="14" t="s">
        <v>918</v>
      </c>
      <c r="D81" s="333">
        <v>118</v>
      </c>
      <c r="E81" s="14" t="s">
        <v>21</v>
      </c>
      <c r="F81" s="8" t="s">
        <v>971</v>
      </c>
      <c r="G81" s="41" t="s">
        <v>972</v>
      </c>
      <c r="H81" s="331" t="s">
        <v>969</v>
      </c>
    </row>
    <row r="82" spans="1:8" ht="13.2" customHeight="1" x14ac:dyDescent="0.2">
      <c r="A82" s="329" t="s">
        <v>973</v>
      </c>
      <c r="B82" s="8" t="s">
        <v>25</v>
      </c>
      <c r="C82" s="14" t="s">
        <v>918</v>
      </c>
      <c r="D82" s="333">
        <v>119</v>
      </c>
      <c r="E82" s="14" t="s">
        <v>21</v>
      </c>
      <c r="F82" s="8" t="s">
        <v>974</v>
      </c>
      <c r="G82" s="41" t="s">
        <v>975</v>
      </c>
      <c r="H82" s="331" t="s">
        <v>969</v>
      </c>
    </row>
    <row r="83" spans="1:8" ht="13.2" customHeight="1" x14ac:dyDescent="0.2">
      <c r="A83" s="329" t="s">
        <v>976</v>
      </c>
      <c r="B83" s="8" t="s">
        <v>68</v>
      </c>
      <c r="C83" s="14" t="s">
        <v>918</v>
      </c>
      <c r="D83" s="333">
        <v>120</v>
      </c>
      <c r="E83" s="335" t="s">
        <v>94</v>
      </c>
      <c r="F83" s="8" t="s">
        <v>977</v>
      </c>
      <c r="G83" s="8" t="s">
        <v>978</v>
      </c>
      <c r="H83" s="331" t="s">
        <v>979</v>
      </c>
    </row>
    <row r="84" spans="1:8" ht="13.2" customHeight="1" x14ac:dyDescent="0.2">
      <c r="A84" s="329" t="s">
        <v>980</v>
      </c>
      <c r="B84" s="8" t="s">
        <v>981</v>
      </c>
      <c r="C84" s="14" t="s">
        <v>691</v>
      </c>
      <c r="D84" s="330">
        <v>121</v>
      </c>
      <c r="E84" s="14" t="s">
        <v>651</v>
      </c>
      <c r="F84" s="8" t="s">
        <v>982</v>
      </c>
      <c r="G84" s="8" t="s">
        <v>983</v>
      </c>
      <c r="H84" s="331" t="s">
        <v>945</v>
      </c>
    </row>
    <row r="85" spans="1:8" ht="13.2" customHeight="1" x14ac:dyDescent="0.2">
      <c r="A85" s="329" t="s">
        <v>984</v>
      </c>
      <c r="B85" s="8" t="s">
        <v>64</v>
      </c>
      <c r="C85" s="14" t="s">
        <v>918</v>
      </c>
      <c r="D85" s="333">
        <v>122</v>
      </c>
      <c r="E85" s="14" t="s">
        <v>21</v>
      </c>
      <c r="F85" s="41" t="s">
        <v>985</v>
      </c>
      <c r="G85" s="41" t="s">
        <v>986</v>
      </c>
      <c r="H85" s="331" t="s">
        <v>987</v>
      </c>
    </row>
    <row r="86" spans="1:8" ht="13.2" customHeight="1" x14ac:dyDescent="0.2">
      <c r="A86" s="329" t="s">
        <v>988</v>
      </c>
      <c r="B86" s="8" t="s">
        <v>989</v>
      </c>
      <c r="C86" s="14" t="s">
        <v>918</v>
      </c>
      <c r="D86" s="330">
        <v>123</v>
      </c>
      <c r="E86" s="14" t="s">
        <v>651</v>
      </c>
      <c r="F86" s="41" t="s">
        <v>990</v>
      </c>
      <c r="G86" s="8" t="s">
        <v>991</v>
      </c>
      <c r="H86" s="331" t="s">
        <v>992</v>
      </c>
    </row>
    <row r="87" spans="1:8" x14ac:dyDescent="0.2">
      <c r="A87" s="329" t="s">
        <v>993</v>
      </c>
      <c r="B87" s="8" t="s">
        <v>994</v>
      </c>
      <c r="C87" s="14" t="s">
        <v>691</v>
      </c>
      <c r="D87" s="333">
        <v>124</v>
      </c>
      <c r="E87" s="14" t="s">
        <v>742</v>
      </c>
      <c r="F87" s="8" t="s">
        <v>995</v>
      </c>
      <c r="G87" s="8" t="s">
        <v>996</v>
      </c>
      <c r="H87" s="331" t="s">
        <v>997</v>
      </c>
    </row>
    <row r="88" spans="1:8" ht="13.2" customHeight="1" x14ac:dyDescent="0.2">
      <c r="A88" s="329" t="s">
        <v>998</v>
      </c>
      <c r="B88" s="8" t="s">
        <v>716</v>
      </c>
      <c r="C88" s="14" t="s">
        <v>650</v>
      </c>
      <c r="D88" s="330">
        <v>125</v>
      </c>
      <c r="E88" s="14" t="s">
        <v>651</v>
      </c>
      <c r="F88" s="8" t="s">
        <v>999</v>
      </c>
      <c r="G88" s="8" t="s">
        <v>1000</v>
      </c>
      <c r="H88" s="331" t="s">
        <v>1001</v>
      </c>
    </row>
    <row r="89" spans="1:8" ht="13.2" customHeight="1" x14ac:dyDescent="0.2">
      <c r="A89" s="329" t="s">
        <v>1002</v>
      </c>
      <c r="B89" s="8" t="s">
        <v>1003</v>
      </c>
      <c r="C89" s="14" t="s">
        <v>650</v>
      </c>
      <c r="D89" s="330">
        <v>126</v>
      </c>
      <c r="E89" s="14" t="s">
        <v>651</v>
      </c>
      <c r="F89" s="8" t="s">
        <v>1004</v>
      </c>
      <c r="G89" s="8" t="s">
        <v>1005</v>
      </c>
      <c r="H89" s="331" t="s">
        <v>1006</v>
      </c>
    </row>
    <row r="90" spans="1:8" ht="13.2" customHeight="1" x14ac:dyDescent="0.2">
      <c r="A90" s="329" t="s">
        <v>1007</v>
      </c>
      <c r="B90" s="8" t="s">
        <v>1003</v>
      </c>
      <c r="C90" s="14" t="s">
        <v>650</v>
      </c>
      <c r="D90" s="330">
        <v>127</v>
      </c>
      <c r="E90" s="14" t="s">
        <v>651</v>
      </c>
      <c r="F90" s="8" t="s">
        <v>1008</v>
      </c>
      <c r="G90" s="8" t="s">
        <v>1009</v>
      </c>
      <c r="H90" s="331" t="s">
        <v>1006</v>
      </c>
    </row>
    <row r="91" spans="1:8" ht="13.2" customHeight="1" x14ac:dyDescent="0.2">
      <c r="A91" s="329" t="s">
        <v>1010</v>
      </c>
      <c r="B91" s="8" t="s">
        <v>1011</v>
      </c>
      <c r="C91" s="14" t="s">
        <v>755</v>
      </c>
      <c r="D91" s="332">
        <v>128</v>
      </c>
      <c r="E91" s="14" t="s">
        <v>21</v>
      </c>
      <c r="F91" s="8" t="s">
        <v>1012</v>
      </c>
      <c r="G91" s="8" t="s">
        <v>1013</v>
      </c>
      <c r="H91" s="331" t="s">
        <v>1014</v>
      </c>
    </row>
    <row r="92" spans="1:8" ht="13.2" customHeight="1" x14ac:dyDescent="0.2">
      <c r="A92" s="329" t="s">
        <v>1015</v>
      </c>
      <c r="B92" s="8" t="s">
        <v>716</v>
      </c>
      <c r="C92" s="14" t="s">
        <v>650</v>
      </c>
      <c r="D92" s="332">
        <v>129</v>
      </c>
      <c r="E92" s="14" t="s">
        <v>20</v>
      </c>
      <c r="F92" s="8" t="s">
        <v>1016</v>
      </c>
      <c r="G92" s="8" t="s">
        <v>1017</v>
      </c>
      <c r="H92" s="331" t="s">
        <v>1018</v>
      </c>
    </row>
    <row r="93" spans="1:8" ht="13.2" customHeight="1" x14ac:dyDescent="0.2">
      <c r="A93" s="329" t="s">
        <v>1019</v>
      </c>
      <c r="B93" s="8" t="s">
        <v>716</v>
      </c>
      <c r="C93" s="14" t="s">
        <v>650</v>
      </c>
      <c r="D93" s="330">
        <v>130</v>
      </c>
      <c r="E93" s="14" t="s">
        <v>651</v>
      </c>
      <c r="F93" s="8" t="s">
        <v>1020</v>
      </c>
      <c r="G93" s="8" t="s">
        <v>1021</v>
      </c>
      <c r="H93" s="331" t="s">
        <v>1018</v>
      </c>
    </row>
    <row r="94" spans="1:8" ht="13.2" customHeight="1" x14ac:dyDescent="0.2">
      <c r="A94" s="329" t="s">
        <v>1022</v>
      </c>
      <c r="B94" s="8" t="s">
        <v>1023</v>
      </c>
      <c r="C94" s="14" t="s">
        <v>706</v>
      </c>
      <c r="D94" s="332">
        <v>131</v>
      </c>
      <c r="E94" s="14" t="s">
        <v>21</v>
      </c>
      <c r="F94" s="8" t="s">
        <v>1024</v>
      </c>
      <c r="G94" s="8" t="s">
        <v>1025</v>
      </c>
      <c r="H94" s="331" t="s">
        <v>1026</v>
      </c>
    </row>
    <row r="95" spans="1:8" ht="13.2" customHeight="1" x14ac:dyDescent="0.2">
      <c r="A95" s="329" t="s">
        <v>1027</v>
      </c>
      <c r="B95" s="8" t="s">
        <v>1028</v>
      </c>
      <c r="C95" s="14" t="s">
        <v>1029</v>
      </c>
      <c r="D95" s="330">
        <v>132</v>
      </c>
      <c r="E95" s="14" t="s">
        <v>651</v>
      </c>
      <c r="F95" s="8" t="s">
        <v>1030</v>
      </c>
      <c r="G95" s="8" t="s">
        <v>1031</v>
      </c>
      <c r="H95" s="331" t="s">
        <v>1032</v>
      </c>
    </row>
    <row r="96" spans="1:8" ht="13.95" customHeight="1" x14ac:dyDescent="0.2">
      <c r="A96" s="329" t="s">
        <v>1033</v>
      </c>
      <c r="B96" s="8" t="s">
        <v>25</v>
      </c>
      <c r="C96" s="14" t="s">
        <v>918</v>
      </c>
      <c r="D96" s="333">
        <v>133</v>
      </c>
      <c r="E96" s="14" t="s">
        <v>20</v>
      </c>
      <c r="F96" s="8" t="s">
        <v>1034</v>
      </c>
      <c r="G96" s="8" t="s">
        <v>1035</v>
      </c>
      <c r="H96" s="331" t="s">
        <v>1036</v>
      </c>
    </row>
    <row r="97" spans="1:8" ht="13.2" customHeight="1" x14ac:dyDescent="0.2">
      <c r="A97" s="329" t="s">
        <v>1037</v>
      </c>
      <c r="B97" s="8" t="s">
        <v>1038</v>
      </c>
      <c r="C97" s="14" t="s">
        <v>1029</v>
      </c>
      <c r="D97" s="332">
        <v>136</v>
      </c>
      <c r="E97" s="14" t="s">
        <v>669</v>
      </c>
      <c r="F97" s="8" t="s">
        <v>1039</v>
      </c>
      <c r="G97" s="8" t="s">
        <v>1040</v>
      </c>
      <c r="H97" s="331" t="s">
        <v>1041</v>
      </c>
    </row>
    <row r="98" spans="1:8" ht="13.2" customHeight="1" x14ac:dyDescent="0.2">
      <c r="A98" s="329" t="s">
        <v>1042</v>
      </c>
      <c r="B98" s="8" t="s">
        <v>1038</v>
      </c>
      <c r="C98" s="14" t="s">
        <v>1029</v>
      </c>
      <c r="D98" s="332">
        <v>137</v>
      </c>
      <c r="E98" s="14" t="s">
        <v>669</v>
      </c>
      <c r="F98" s="8" t="s">
        <v>1043</v>
      </c>
      <c r="G98" s="8" t="s">
        <v>1044</v>
      </c>
      <c r="H98" s="331" t="s">
        <v>1041</v>
      </c>
    </row>
    <row r="99" spans="1:8" ht="13.2" customHeight="1" x14ac:dyDescent="0.2">
      <c r="A99" s="329" t="s">
        <v>1045</v>
      </c>
      <c r="B99" s="8" t="s">
        <v>1046</v>
      </c>
      <c r="C99" s="14" t="s">
        <v>755</v>
      </c>
      <c r="D99" s="332">
        <v>138</v>
      </c>
      <c r="E99" s="14" t="s">
        <v>21</v>
      </c>
      <c r="F99" s="8" t="s">
        <v>1047</v>
      </c>
      <c r="G99" s="8" t="s">
        <v>1048</v>
      </c>
      <c r="H99" s="331" t="s">
        <v>1049</v>
      </c>
    </row>
    <row r="100" spans="1:8" ht="13.2" customHeight="1" x14ac:dyDescent="0.2">
      <c r="A100" s="329" t="s">
        <v>1050</v>
      </c>
      <c r="B100" s="8" t="s">
        <v>1051</v>
      </c>
      <c r="C100" s="14" t="s">
        <v>650</v>
      </c>
      <c r="D100" s="332">
        <v>140</v>
      </c>
      <c r="E100" s="14" t="s">
        <v>742</v>
      </c>
      <c r="F100" s="8" t="s">
        <v>1052</v>
      </c>
      <c r="G100" s="8" t="s">
        <v>1053</v>
      </c>
      <c r="H100" s="331" t="s">
        <v>1054</v>
      </c>
    </row>
    <row r="101" spans="1:8" ht="13.2" customHeight="1" x14ac:dyDescent="0.2">
      <c r="A101" s="329" t="s">
        <v>1055</v>
      </c>
      <c r="B101" s="8" t="s">
        <v>1056</v>
      </c>
      <c r="C101" s="14" t="s">
        <v>650</v>
      </c>
      <c r="D101" s="330">
        <v>141</v>
      </c>
      <c r="E101" s="14" t="s">
        <v>651</v>
      </c>
      <c r="F101" s="8" t="s">
        <v>1057</v>
      </c>
      <c r="G101" s="8" t="s">
        <v>1058</v>
      </c>
      <c r="H101" s="331" t="s">
        <v>1059</v>
      </c>
    </row>
    <row r="102" spans="1:8" x14ac:dyDescent="0.2">
      <c r="A102" s="329" t="s">
        <v>1060</v>
      </c>
      <c r="B102" s="8" t="s">
        <v>1061</v>
      </c>
      <c r="C102" s="14" t="s">
        <v>650</v>
      </c>
      <c r="D102" s="332">
        <v>142</v>
      </c>
      <c r="E102" s="14" t="s">
        <v>21</v>
      </c>
      <c r="F102" s="8" t="s">
        <v>1062</v>
      </c>
      <c r="G102" s="8" t="s">
        <v>1063</v>
      </c>
      <c r="H102" s="331" t="s">
        <v>1064</v>
      </c>
    </row>
    <row r="103" spans="1:8" ht="13.2" customHeight="1" x14ac:dyDescent="0.2">
      <c r="A103" s="329" t="s">
        <v>1065</v>
      </c>
      <c r="B103" s="8" t="s">
        <v>1066</v>
      </c>
      <c r="C103" s="14" t="s">
        <v>650</v>
      </c>
      <c r="D103" s="332">
        <v>143</v>
      </c>
      <c r="E103" s="14" t="s">
        <v>21</v>
      </c>
      <c r="F103" s="8" t="s">
        <v>1067</v>
      </c>
      <c r="G103" s="8" t="s">
        <v>1068</v>
      </c>
      <c r="H103" s="331" t="s">
        <v>1064</v>
      </c>
    </row>
    <row r="104" spans="1:8" ht="13.2" customHeight="1" x14ac:dyDescent="0.2">
      <c r="A104" s="329" t="s">
        <v>1069</v>
      </c>
      <c r="B104" s="8" t="s">
        <v>1066</v>
      </c>
      <c r="C104" s="14" t="s">
        <v>650</v>
      </c>
      <c r="D104" s="332">
        <v>144</v>
      </c>
      <c r="E104" s="14" t="s">
        <v>711</v>
      </c>
      <c r="F104" s="8" t="s">
        <v>1070</v>
      </c>
      <c r="G104" s="8" t="s">
        <v>1071</v>
      </c>
      <c r="H104" s="331" t="s">
        <v>1064</v>
      </c>
    </row>
    <row r="105" spans="1:8" ht="13.2" customHeight="1" x14ac:dyDescent="0.2">
      <c r="A105" s="329" t="s">
        <v>1072</v>
      </c>
      <c r="B105" s="8" t="s">
        <v>1066</v>
      </c>
      <c r="C105" s="14" t="s">
        <v>650</v>
      </c>
      <c r="D105" s="332">
        <v>145</v>
      </c>
      <c r="E105" s="14" t="s">
        <v>1073</v>
      </c>
      <c r="F105" s="8" t="s">
        <v>1074</v>
      </c>
      <c r="G105" s="8" t="s">
        <v>1075</v>
      </c>
      <c r="H105" s="331" t="s">
        <v>1064</v>
      </c>
    </row>
    <row r="106" spans="1:8" ht="13.2" customHeight="1" x14ac:dyDescent="0.2">
      <c r="A106" s="329" t="s">
        <v>1076</v>
      </c>
      <c r="B106" s="8" t="s">
        <v>1051</v>
      </c>
      <c r="C106" s="14" t="s">
        <v>650</v>
      </c>
      <c r="D106" s="332">
        <v>146</v>
      </c>
      <c r="E106" s="14" t="s">
        <v>742</v>
      </c>
      <c r="F106" s="8" t="s">
        <v>1077</v>
      </c>
      <c r="G106" s="8" t="s">
        <v>1078</v>
      </c>
      <c r="H106" s="331" t="s">
        <v>1079</v>
      </c>
    </row>
    <row r="107" spans="1:8" ht="13.2" customHeight="1" x14ac:dyDescent="0.2">
      <c r="A107" s="329" t="s">
        <v>1080</v>
      </c>
      <c r="B107" s="8" t="s">
        <v>1081</v>
      </c>
      <c r="C107" s="14" t="s">
        <v>650</v>
      </c>
      <c r="D107" s="330">
        <v>147</v>
      </c>
      <c r="E107" s="14" t="s">
        <v>651</v>
      </c>
      <c r="F107" s="8" t="s">
        <v>1082</v>
      </c>
      <c r="G107" s="8" t="s">
        <v>1083</v>
      </c>
      <c r="H107" s="331" t="s">
        <v>1079</v>
      </c>
    </row>
    <row r="108" spans="1:8" ht="13.2" customHeight="1" x14ac:dyDescent="0.2">
      <c r="A108" s="329" t="s">
        <v>1084</v>
      </c>
      <c r="B108" s="8" t="s">
        <v>1085</v>
      </c>
      <c r="C108" s="14" t="s">
        <v>650</v>
      </c>
      <c r="D108" s="330">
        <v>148</v>
      </c>
      <c r="E108" s="14" t="s">
        <v>651</v>
      </c>
      <c r="F108" s="8" t="s">
        <v>1086</v>
      </c>
      <c r="G108" s="8" t="s">
        <v>1087</v>
      </c>
      <c r="H108" s="331" t="s">
        <v>1088</v>
      </c>
    </row>
    <row r="109" spans="1:8" ht="13.2" customHeight="1" x14ac:dyDescent="0.2">
      <c r="A109" s="329" t="s">
        <v>1089</v>
      </c>
      <c r="B109" s="8" t="s">
        <v>1056</v>
      </c>
      <c r="C109" s="14" t="s">
        <v>650</v>
      </c>
      <c r="D109" s="332">
        <v>149</v>
      </c>
      <c r="E109" s="14" t="s">
        <v>21</v>
      </c>
      <c r="F109" s="8" t="s">
        <v>1090</v>
      </c>
      <c r="G109" s="8" t="s">
        <v>1091</v>
      </c>
      <c r="H109" s="331" t="s">
        <v>1092</v>
      </c>
    </row>
    <row r="110" spans="1:8" ht="13.2" customHeight="1" x14ac:dyDescent="0.2">
      <c r="A110" s="329" t="s">
        <v>1093</v>
      </c>
      <c r="B110" s="8" t="s">
        <v>1094</v>
      </c>
      <c r="C110" s="14" t="s">
        <v>691</v>
      </c>
      <c r="D110" s="333">
        <v>150</v>
      </c>
      <c r="E110" s="14" t="s">
        <v>1095</v>
      </c>
      <c r="F110" s="41" t="s">
        <v>1096</v>
      </c>
      <c r="G110" s="8" t="s">
        <v>1097</v>
      </c>
      <c r="H110" s="331" t="s">
        <v>1098</v>
      </c>
    </row>
    <row r="111" spans="1:8" ht="13.2" customHeight="1" x14ac:dyDescent="0.2">
      <c r="A111" s="329" t="s">
        <v>1099</v>
      </c>
      <c r="B111" s="8" t="s">
        <v>1094</v>
      </c>
      <c r="C111" s="14" t="s">
        <v>691</v>
      </c>
      <c r="D111" s="333">
        <v>151</v>
      </c>
      <c r="E111" s="14" t="s">
        <v>742</v>
      </c>
      <c r="F111" s="41" t="s">
        <v>1100</v>
      </c>
      <c r="G111" s="8" t="s">
        <v>1101</v>
      </c>
      <c r="H111" s="331" t="s">
        <v>1102</v>
      </c>
    </row>
    <row r="112" spans="1:8" ht="13.2" customHeight="1" x14ac:dyDescent="0.2">
      <c r="A112" s="329" t="s">
        <v>1103</v>
      </c>
      <c r="B112" s="8" t="s">
        <v>1085</v>
      </c>
      <c r="C112" s="14" t="s">
        <v>650</v>
      </c>
      <c r="D112" s="332">
        <v>152</v>
      </c>
      <c r="E112" s="14" t="s">
        <v>21</v>
      </c>
      <c r="F112" s="8" t="s">
        <v>1104</v>
      </c>
      <c r="G112" s="8" t="s">
        <v>1105</v>
      </c>
      <c r="H112" s="331" t="s">
        <v>1106</v>
      </c>
    </row>
    <row r="113" spans="1:8" ht="13.2" customHeight="1" x14ac:dyDescent="0.2">
      <c r="A113" s="329" t="s">
        <v>1107</v>
      </c>
      <c r="B113" s="8" t="s">
        <v>1085</v>
      </c>
      <c r="C113" s="14" t="s">
        <v>650</v>
      </c>
      <c r="D113" s="332">
        <v>153</v>
      </c>
      <c r="E113" s="14" t="s">
        <v>21</v>
      </c>
      <c r="F113" s="8" t="s">
        <v>1108</v>
      </c>
      <c r="G113" s="8" t="s">
        <v>1109</v>
      </c>
      <c r="H113" s="331" t="s">
        <v>1110</v>
      </c>
    </row>
    <row r="114" spans="1:8" ht="13.2" customHeight="1" x14ac:dyDescent="0.2">
      <c r="A114" s="329" t="s">
        <v>1111</v>
      </c>
      <c r="B114" s="8" t="s">
        <v>1085</v>
      </c>
      <c r="C114" s="14" t="s">
        <v>650</v>
      </c>
      <c r="D114" s="332">
        <v>154</v>
      </c>
      <c r="E114" s="14" t="s">
        <v>21</v>
      </c>
      <c r="F114" s="8" t="s">
        <v>1112</v>
      </c>
      <c r="G114" s="8" t="s">
        <v>1113</v>
      </c>
      <c r="H114" s="331" t="s">
        <v>1110</v>
      </c>
    </row>
    <row r="115" spans="1:8" ht="13.2" customHeight="1" x14ac:dyDescent="0.2">
      <c r="A115" s="329" t="s">
        <v>1114</v>
      </c>
      <c r="B115" s="8" t="s">
        <v>1115</v>
      </c>
      <c r="C115" s="14" t="s">
        <v>755</v>
      </c>
      <c r="D115" s="334">
        <v>155</v>
      </c>
      <c r="E115" s="14" t="s">
        <v>742</v>
      </c>
      <c r="F115" s="8" t="s">
        <v>1116</v>
      </c>
      <c r="G115" s="8" t="s">
        <v>1117</v>
      </c>
      <c r="H115" s="331" t="s">
        <v>1118</v>
      </c>
    </row>
    <row r="116" spans="1:8" ht="13.2" customHeight="1" x14ac:dyDescent="0.2">
      <c r="A116" s="329" t="s">
        <v>1119</v>
      </c>
      <c r="B116" s="8" t="s">
        <v>1115</v>
      </c>
      <c r="C116" s="14" t="s">
        <v>755</v>
      </c>
      <c r="D116" s="332">
        <v>156</v>
      </c>
      <c r="E116" s="14" t="s">
        <v>21</v>
      </c>
      <c r="F116" s="8" t="s">
        <v>1120</v>
      </c>
      <c r="G116" s="8" t="s">
        <v>1121</v>
      </c>
      <c r="H116" s="331" t="s">
        <v>1122</v>
      </c>
    </row>
    <row r="117" spans="1:8" x14ac:dyDescent="0.2">
      <c r="A117" s="329" t="s">
        <v>1123</v>
      </c>
      <c r="B117" s="8" t="s">
        <v>1066</v>
      </c>
      <c r="C117" s="14" t="s">
        <v>650</v>
      </c>
      <c r="D117" s="332">
        <v>158</v>
      </c>
      <c r="E117" s="14" t="s">
        <v>711</v>
      </c>
      <c r="F117" s="8" t="s">
        <v>1124</v>
      </c>
      <c r="G117" s="8" t="s">
        <v>1125</v>
      </c>
      <c r="H117" s="331" t="s">
        <v>1126</v>
      </c>
    </row>
    <row r="118" spans="1:8" ht="13.2" customHeight="1" x14ac:dyDescent="0.2">
      <c r="A118" s="329" t="s">
        <v>1127</v>
      </c>
      <c r="B118" s="8" t="s">
        <v>1066</v>
      </c>
      <c r="C118" s="14" t="s">
        <v>650</v>
      </c>
      <c r="D118" s="332">
        <v>159</v>
      </c>
      <c r="E118" s="14" t="s">
        <v>21</v>
      </c>
      <c r="F118" s="8" t="s">
        <v>1128</v>
      </c>
      <c r="G118" s="8" t="s">
        <v>1129</v>
      </c>
      <c r="H118" s="331" t="s">
        <v>1126</v>
      </c>
    </row>
    <row r="119" spans="1:8" ht="13.2" customHeight="1" x14ac:dyDescent="0.2">
      <c r="A119" s="329" t="s">
        <v>1130</v>
      </c>
      <c r="B119" s="8" t="s">
        <v>1066</v>
      </c>
      <c r="C119" s="14" t="s">
        <v>650</v>
      </c>
      <c r="D119" s="332">
        <v>160</v>
      </c>
      <c r="E119" s="14" t="s">
        <v>21</v>
      </c>
      <c r="F119" s="8" t="s">
        <v>1131</v>
      </c>
      <c r="G119" s="8" t="s">
        <v>1132</v>
      </c>
      <c r="H119" s="331" t="s">
        <v>1126</v>
      </c>
    </row>
    <row r="120" spans="1:8" ht="13.2" customHeight="1" x14ac:dyDescent="0.2">
      <c r="A120" s="329" t="s">
        <v>1133</v>
      </c>
      <c r="B120" s="8" t="s">
        <v>1066</v>
      </c>
      <c r="C120" s="14" t="s">
        <v>650</v>
      </c>
      <c r="D120" s="332">
        <v>161</v>
      </c>
      <c r="E120" s="14" t="s">
        <v>21</v>
      </c>
      <c r="F120" s="8" t="s">
        <v>1134</v>
      </c>
      <c r="G120" s="8" t="s">
        <v>1135</v>
      </c>
      <c r="H120" s="331" t="s">
        <v>1136</v>
      </c>
    </row>
    <row r="121" spans="1:8" x14ac:dyDescent="0.2">
      <c r="A121" s="329" t="s">
        <v>1137</v>
      </c>
      <c r="B121" s="8" t="s">
        <v>1066</v>
      </c>
      <c r="C121" s="14" t="s">
        <v>650</v>
      </c>
      <c r="D121" s="332">
        <v>162</v>
      </c>
      <c r="E121" s="14" t="s">
        <v>21</v>
      </c>
      <c r="F121" s="8" t="s">
        <v>1138</v>
      </c>
      <c r="G121" s="8" t="s">
        <v>1139</v>
      </c>
      <c r="H121" s="331" t="s">
        <v>1126</v>
      </c>
    </row>
    <row r="122" spans="1:8" ht="13.2" customHeight="1" x14ac:dyDescent="0.2">
      <c r="A122" s="329" t="s">
        <v>1140</v>
      </c>
      <c r="B122" s="8" t="s">
        <v>1141</v>
      </c>
      <c r="C122" s="14" t="s">
        <v>1029</v>
      </c>
      <c r="D122" s="332">
        <v>163</v>
      </c>
      <c r="E122" s="14" t="s">
        <v>669</v>
      </c>
      <c r="F122" s="8" t="s">
        <v>1142</v>
      </c>
      <c r="G122" s="8" t="s">
        <v>1143</v>
      </c>
      <c r="H122" s="331" t="s">
        <v>1144</v>
      </c>
    </row>
    <row r="123" spans="1:8" x14ac:dyDescent="0.2">
      <c r="A123" s="329" t="s">
        <v>1145</v>
      </c>
      <c r="B123" s="8" t="s">
        <v>1141</v>
      </c>
      <c r="C123" s="14" t="s">
        <v>1029</v>
      </c>
      <c r="D123" s="332">
        <v>164</v>
      </c>
      <c r="E123" s="14" t="s">
        <v>669</v>
      </c>
      <c r="F123" s="8" t="s">
        <v>1146</v>
      </c>
      <c r="G123" s="8" t="s">
        <v>1147</v>
      </c>
      <c r="H123" s="331" t="s">
        <v>1144</v>
      </c>
    </row>
    <row r="124" spans="1:8" ht="13.2" customHeight="1" x14ac:dyDescent="0.2">
      <c r="A124" s="329" t="s">
        <v>1148</v>
      </c>
      <c r="B124" s="8" t="s">
        <v>1085</v>
      </c>
      <c r="C124" s="14" t="s">
        <v>650</v>
      </c>
      <c r="D124" s="330">
        <v>165</v>
      </c>
      <c r="E124" s="14" t="s">
        <v>651</v>
      </c>
      <c r="F124" s="8" t="s">
        <v>1149</v>
      </c>
      <c r="G124" s="8" t="s">
        <v>1150</v>
      </c>
      <c r="H124" s="331" t="s">
        <v>1151</v>
      </c>
    </row>
    <row r="125" spans="1:8" ht="13.2" customHeight="1" x14ac:dyDescent="0.2">
      <c r="A125" s="329" t="s">
        <v>1152</v>
      </c>
      <c r="B125" s="8" t="s">
        <v>1085</v>
      </c>
      <c r="C125" s="14" t="s">
        <v>650</v>
      </c>
      <c r="D125" s="330">
        <v>166</v>
      </c>
      <c r="E125" s="14" t="s">
        <v>651</v>
      </c>
      <c r="F125" s="8" t="s">
        <v>1153</v>
      </c>
      <c r="G125" s="8" t="s">
        <v>1154</v>
      </c>
      <c r="H125" s="331" t="s">
        <v>1151</v>
      </c>
    </row>
    <row r="126" spans="1:8" ht="13.2" customHeight="1" x14ac:dyDescent="0.2">
      <c r="A126" s="329" t="s">
        <v>1155</v>
      </c>
      <c r="B126" s="8" t="s">
        <v>1085</v>
      </c>
      <c r="C126" s="14" t="s">
        <v>650</v>
      </c>
      <c r="D126" s="330">
        <v>167</v>
      </c>
      <c r="E126" s="14" t="s">
        <v>651</v>
      </c>
      <c r="F126" s="8" t="s">
        <v>1156</v>
      </c>
      <c r="G126" s="8" t="s">
        <v>1157</v>
      </c>
      <c r="H126" s="331" t="s">
        <v>1158</v>
      </c>
    </row>
    <row r="127" spans="1:8" ht="13.2" customHeight="1" x14ac:dyDescent="0.2">
      <c r="A127" s="329" t="s">
        <v>1159</v>
      </c>
      <c r="B127" s="8" t="s">
        <v>1160</v>
      </c>
      <c r="C127" s="14" t="s">
        <v>706</v>
      </c>
      <c r="D127" s="332">
        <v>168</v>
      </c>
      <c r="E127" s="14" t="s">
        <v>21</v>
      </c>
      <c r="F127" s="8" t="s">
        <v>1161</v>
      </c>
      <c r="G127" s="8" t="s">
        <v>1162</v>
      </c>
      <c r="H127" s="331" t="s">
        <v>1163</v>
      </c>
    </row>
    <row r="128" spans="1:8" ht="13.2" customHeight="1" x14ac:dyDescent="0.2">
      <c r="A128" s="329" t="s">
        <v>1164</v>
      </c>
      <c r="B128" s="8" t="s">
        <v>1165</v>
      </c>
      <c r="C128" s="14" t="s">
        <v>755</v>
      </c>
      <c r="D128" s="332">
        <v>169</v>
      </c>
      <c r="E128" s="14" t="s">
        <v>711</v>
      </c>
      <c r="F128" s="8" t="s">
        <v>1166</v>
      </c>
      <c r="G128" s="8" t="s">
        <v>1167</v>
      </c>
      <c r="H128" s="331" t="s">
        <v>1163</v>
      </c>
    </row>
    <row r="129" spans="1:8" ht="13.2" customHeight="1" x14ac:dyDescent="0.2">
      <c r="A129" s="329" t="s">
        <v>1168</v>
      </c>
      <c r="B129" s="8" t="s">
        <v>1165</v>
      </c>
      <c r="C129" s="14" t="s">
        <v>755</v>
      </c>
      <c r="D129" s="332">
        <v>170</v>
      </c>
      <c r="E129" s="14" t="s">
        <v>711</v>
      </c>
      <c r="F129" s="8" t="s">
        <v>1169</v>
      </c>
      <c r="G129" s="8" t="s">
        <v>1170</v>
      </c>
      <c r="H129" s="331" t="s">
        <v>1163</v>
      </c>
    </row>
    <row r="130" spans="1:8" ht="13.2" customHeight="1" x14ac:dyDescent="0.2">
      <c r="A130" s="329"/>
      <c r="B130" s="8" t="s">
        <v>37</v>
      </c>
      <c r="C130" s="14" t="s">
        <v>668</v>
      </c>
      <c r="D130" s="333">
        <v>171</v>
      </c>
      <c r="E130" s="14" t="s">
        <v>20</v>
      </c>
      <c r="F130" s="8"/>
      <c r="G130" s="8"/>
      <c r="H130" s="331"/>
    </row>
    <row r="131" spans="1:8" ht="13.2" customHeight="1" x14ac:dyDescent="0.2">
      <c r="A131" s="329" t="s">
        <v>1171</v>
      </c>
      <c r="B131" s="8" t="s">
        <v>1172</v>
      </c>
      <c r="C131" s="14" t="s">
        <v>668</v>
      </c>
      <c r="D131" s="333">
        <v>172</v>
      </c>
      <c r="E131" s="14" t="s">
        <v>20</v>
      </c>
      <c r="F131" s="8"/>
      <c r="G131" s="8" t="s">
        <v>1173</v>
      </c>
      <c r="H131" s="331" t="s">
        <v>1174</v>
      </c>
    </row>
    <row r="132" spans="1:8" x14ac:dyDescent="0.2">
      <c r="A132" s="329" t="s">
        <v>1175</v>
      </c>
      <c r="B132" s="8" t="s">
        <v>1176</v>
      </c>
      <c r="C132" s="14" t="s">
        <v>706</v>
      </c>
      <c r="D132" s="332">
        <v>202</v>
      </c>
      <c r="E132" s="14" t="s">
        <v>21</v>
      </c>
      <c r="F132" s="8" t="s">
        <v>1177</v>
      </c>
      <c r="G132" s="8" t="s">
        <v>1178</v>
      </c>
      <c r="H132" s="331" t="s">
        <v>1179</v>
      </c>
    </row>
    <row r="133" spans="1:8" ht="13.2" customHeight="1" x14ac:dyDescent="0.2">
      <c r="A133" s="329" t="s">
        <v>1180</v>
      </c>
      <c r="B133" s="8" t="s">
        <v>1181</v>
      </c>
      <c r="C133" s="14" t="s">
        <v>706</v>
      </c>
      <c r="D133" s="330">
        <v>203</v>
      </c>
      <c r="E133" s="14" t="s">
        <v>651</v>
      </c>
      <c r="F133" s="8" t="s">
        <v>1182</v>
      </c>
      <c r="G133" s="8" t="s">
        <v>1183</v>
      </c>
      <c r="H133" s="331" t="s">
        <v>1184</v>
      </c>
    </row>
    <row r="134" spans="1:8" ht="13.2" customHeight="1" x14ac:dyDescent="0.2">
      <c r="A134" s="329" t="s">
        <v>1185</v>
      </c>
      <c r="B134" s="8" t="s">
        <v>1186</v>
      </c>
      <c r="C134" s="14" t="s">
        <v>1029</v>
      </c>
      <c r="D134" s="330">
        <v>207</v>
      </c>
      <c r="E134" s="14" t="s">
        <v>651</v>
      </c>
      <c r="F134" s="8" t="s">
        <v>1187</v>
      </c>
      <c r="G134" s="8" t="s">
        <v>1188</v>
      </c>
      <c r="H134" s="331" t="s">
        <v>1189</v>
      </c>
    </row>
    <row r="135" spans="1:8" ht="13.2" customHeight="1" x14ac:dyDescent="0.2">
      <c r="A135" s="329" t="s">
        <v>1190</v>
      </c>
      <c r="B135" s="8" t="s">
        <v>806</v>
      </c>
      <c r="C135" s="14" t="s">
        <v>650</v>
      </c>
      <c r="D135" s="330">
        <v>208</v>
      </c>
      <c r="E135" s="14" t="s">
        <v>651</v>
      </c>
      <c r="F135" s="8" t="s">
        <v>1191</v>
      </c>
      <c r="G135" s="8" t="s">
        <v>1192</v>
      </c>
      <c r="H135" s="331" t="s">
        <v>1193</v>
      </c>
    </row>
    <row r="136" spans="1:8" ht="13.2" customHeight="1" x14ac:dyDescent="0.2">
      <c r="A136" s="329" t="s">
        <v>1194</v>
      </c>
      <c r="B136" s="8" t="s">
        <v>1195</v>
      </c>
      <c r="C136" s="14" t="s">
        <v>1029</v>
      </c>
      <c r="D136" s="330">
        <v>209</v>
      </c>
      <c r="E136" s="14" t="s">
        <v>651</v>
      </c>
      <c r="F136" s="8" t="s">
        <v>1196</v>
      </c>
      <c r="G136" s="8" t="s">
        <v>1197</v>
      </c>
      <c r="H136" s="331" t="s">
        <v>1198</v>
      </c>
    </row>
    <row r="137" spans="1:8" ht="13.2" customHeight="1" x14ac:dyDescent="0.2">
      <c r="A137" s="329" t="s">
        <v>1199</v>
      </c>
      <c r="B137" s="8" t="s">
        <v>1200</v>
      </c>
      <c r="C137" s="14" t="s">
        <v>650</v>
      </c>
      <c r="D137" s="330">
        <v>210</v>
      </c>
      <c r="E137" s="14" t="s">
        <v>651</v>
      </c>
      <c r="F137" s="41" t="s">
        <v>1201</v>
      </c>
      <c r="G137" s="8" t="s">
        <v>1202</v>
      </c>
      <c r="H137" s="331" t="s">
        <v>1203</v>
      </c>
    </row>
    <row r="138" spans="1:8" ht="13.2" customHeight="1" x14ac:dyDescent="0.2">
      <c r="A138" s="329" t="s">
        <v>1204</v>
      </c>
      <c r="B138" s="8" t="s">
        <v>1205</v>
      </c>
      <c r="C138" s="14" t="s">
        <v>918</v>
      </c>
      <c r="D138" s="330">
        <v>211</v>
      </c>
      <c r="E138" s="14" t="s">
        <v>651</v>
      </c>
      <c r="F138" s="8"/>
      <c r="G138" s="8"/>
      <c r="H138" s="331"/>
    </row>
    <row r="139" spans="1:8" ht="13.2" customHeight="1" x14ac:dyDescent="0.2">
      <c r="A139" s="329" t="s">
        <v>1206</v>
      </c>
      <c r="B139" s="8" t="s">
        <v>1207</v>
      </c>
      <c r="C139" s="14" t="s">
        <v>1029</v>
      </c>
      <c r="D139" s="330">
        <v>215</v>
      </c>
      <c r="E139" s="14" t="s">
        <v>651</v>
      </c>
      <c r="F139" s="8" t="s">
        <v>1208</v>
      </c>
      <c r="G139" s="8" t="s">
        <v>1209</v>
      </c>
      <c r="H139" s="331" t="s">
        <v>1210</v>
      </c>
    </row>
    <row r="140" spans="1:8" ht="13.2" customHeight="1" x14ac:dyDescent="0.2">
      <c r="A140" s="329" t="s">
        <v>1211</v>
      </c>
      <c r="B140" s="8" t="s">
        <v>716</v>
      </c>
      <c r="C140" s="14" t="s">
        <v>650</v>
      </c>
      <c r="D140" s="330">
        <v>217</v>
      </c>
      <c r="E140" s="14" t="s">
        <v>651</v>
      </c>
      <c r="F140" s="8" t="s">
        <v>1212</v>
      </c>
      <c r="G140" s="8" t="s">
        <v>1213</v>
      </c>
      <c r="H140" s="331" t="s">
        <v>1214</v>
      </c>
    </row>
    <row r="141" spans="1:8" ht="13.2" customHeight="1" x14ac:dyDescent="0.2">
      <c r="A141" s="329" t="s">
        <v>1215</v>
      </c>
      <c r="B141" s="8" t="s">
        <v>1216</v>
      </c>
      <c r="C141" s="14" t="s">
        <v>706</v>
      </c>
      <c r="D141" s="330">
        <v>218</v>
      </c>
      <c r="E141" s="14" t="s">
        <v>651</v>
      </c>
      <c r="F141" s="41" t="s">
        <v>1217</v>
      </c>
      <c r="G141" s="8" t="s">
        <v>1218</v>
      </c>
      <c r="H141" s="331" t="s">
        <v>1219</v>
      </c>
    </row>
    <row r="142" spans="1:8" ht="13.2" customHeight="1" x14ac:dyDescent="0.2">
      <c r="A142" s="329" t="s">
        <v>1220</v>
      </c>
      <c r="B142" s="8" t="s">
        <v>1085</v>
      </c>
      <c r="C142" s="14" t="s">
        <v>650</v>
      </c>
      <c r="D142" s="330">
        <v>220</v>
      </c>
      <c r="E142" s="14" t="s">
        <v>651</v>
      </c>
      <c r="F142" s="8" t="s">
        <v>1221</v>
      </c>
      <c r="G142" s="8" t="s">
        <v>1222</v>
      </c>
      <c r="H142" s="331" t="s">
        <v>1223</v>
      </c>
    </row>
    <row r="143" spans="1:8" ht="13.2" customHeight="1" x14ac:dyDescent="0.2">
      <c r="A143" s="329" t="s">
        <v>1224</v>
      </c>
      <c r="B143" s="8" t="s">
        <v>884</v>
      </c>
      <c r="C143" s="14" t="s">
        <v>668</v>
      </c>
      <c r="D143" s="330">
        <v>251</v>
      </c>
      <c r="E143" s="14" t="s">
        <v>651</v>
      </c>
      <c r="F143" s="8"/>
      <c r="G143" s="8" t="s">
        <v>1225</v>
      </c>
      <c r="H143" s="331" t="s">
        <v>1226</v>
      </c>
    </row>
    <row r="144" spans="1:8" ht="13.2" customHeight="1" x14ac:dyDescent="0.2">
      <c r="A144" s="329" t="s">
        <v>1227</v>
      </c>
      <c r="B144" s="8" t="s">
        <v>667</v>
      </c>
      <c r="C144" s="14" t="s">
        <v>668</v>
      </c>
      <c r="D144" s="330">
        <v>252</v>
      </c>
      <c r="E144" s="14" t="s">
        <v>651</v>
      </c>
      <c r="F144" s="8"/>
      <c r="G144" s="8" t="s">
        <v>1228</v>
      </c>
      <c r="H144" s="331" t="s">
        <v>1229</v>
      </c>
    </row>
    <row r="145" spans="1:8" ht="13.2" customHeight="1" x14ac:dyDescent="0.2">
      <c r="A145" s="329" t="s">
        <v>1230</v>
      </c>
      <c r="B145" s="8" t="s">
        <v>1231</v>
      </c>
      <c r="C145" s="14" t="s">
        <v>650</v>
      </c>
      <c r="D145" s="332">
        <v>253</v>
      </c>
      <c r="E145" s="14" t="s">
        <v>21</v>
      </c>
      <c r="F145" s="8" t="s">
        <v>1232</v>
      </c>
      <c r="G145" s="8" t="s">
        <v>1233</v>
      </c>
      <c r="H145" s="331" t="s">
        <v>1234</v>
      </c>
    </row>
    <row r="146" spans="1:8" ht="13.2" customHeight="1" x14ac:dyDescent="0.2">
      <c r="A146" s="329" t="s">
        <v>1235</v>
      </c>
      <c r="B146" s="8" t="s">
        <v>1231</v>
      </c>
      <c r="C146" s="14" t="s">
        <v>650</v>
      </c>
      <c r="D146" s="332">
        <v>254</v>
      </c>
      <c r="E146" s="14" t="s">
        <v>21</v>
      </c>
      <c r="F146" s="8" t="s">
        <v>1236</v>
      </c>
      <c r="G146" s="8" t="s">
        <v>1237</v>
      </c>
      <c r="H146" s="331" t="s">
        <v>1234</v>
      </c>
    </row>
    <row r="147" spans="1:8" ht="13.95" customHeight="1" x14ac:dyDescent="0.2">
      <c r="A147" s="329" t="s">
        <v>1238</v>
      </c>
      <c r="B147" s="8" t="s">
        <v>1239</v>
      </c>
      <c r="C147" s="14" t="s">
        <v>650</v>
      </c>
      <c r="D147" s="332">
        <v>255</v>
      </c>
      <c r="E147" s="14" t="s">
        <v>662</v>
      </c>
      <c r="F147" s="8" t="s">
        <v>1240</v>
      </c>
      <c r="G147" s="8" t="s">
        <v>1241</v>
      </c>
      <c r="H147" s="331" t="s">
        <v>1234</v>
      </c>
    </row>
    <row r="148" spans="1:8" ht="13.2" customHeight="1" x14ac:dyDescent="0.2">
      <c r="A148" s="329" t="s">
        <v>1242</v>
      </c>
      <c r="B148" s="8" t="s">
        <v>1231</v>
      </c>
      <c r="C148" s="14" t="s">
        <v>650</v>
      </c>
      <c r="D148" s="332">
        <v>256</v>
      </c>
      <c r="E148" s="14" t="s">
        <v>711</v>
      </c>
      <c r="F148" s="8" t="s">
        <v>1243</v>
      </c>
      <c r="G148" s="8" t="s">
        <v>1244</v>
      </c>
      <c r="H148" s="331" t="s">
        <v>1234</v>
      </c>
    </row>
    <row r="149" spans="1:8" ht="13.2" customHeight="1" x14ac:dyDescent="0.2">
      <c r="A149" s="329" t="s">
        <v>1245</v>
      </c>
      <c r="B149" s="8" t="s">
        <v>1231</v>
      </c>
      <c r="C149" s="14" t="s">
        <v>650</v>
      </c>
      <c r="D149" s="332">
        <v>257</v>
      </c>
      <c r="E149" s="14" t="s">
        <v>21</v>
      </c>
      <c r="F149" s="8" t="s">
        <v>1246</v>
      </c>
      <c r="G149" s="8" t="s">
        <v>1247</v>
      </c>
      <c r="H149" s="331" t="s">
        <v>1234</v>
      </c>
    </row>
    <row r="150" spans="1:8" x14ac:dyDescent="0.2">
      <c r="A150" s="329" t="s">
        <v>1248</v>
      </c>
      <c r="B150" s="8" t="s">
        <v>1249</v>
      </c>
      <c r="C150" s="14" t="s">
        <v>1029</v>
      </c>
      <c r="D150" s="332">
        <v>258</v>
      </c>
      <c r="E150" s="14" t="s">
        <v>669</v>
      </c>
      <c r="F150" s="8" t="s">
        <v>1250</v>
      </c>
      <c r="G150" s="8" t="s">
        <v>1251</v>
      </c>
      <c r="H150" s="331" t="s">
        <v>1234</v>
      </c>
    </row>
    <row r="151" spans="1:8" x14ac:dyDescent="0.2">
      <c r="A151" s="329" t="s">
        <v>1252</v>
      </c>
      <c r="B151" s="8" t="s">
        <v>1249</v>
      </c>
      <c r="C151" s="14" t="s">
        <v>1029</v>
      </c>
      <c r="D151" s="334">
        <v>259</v>
      </c>
      <c r="E151" s="14" t="s">
        <v>669</v>
      </c>
      <c r="F151" s="8" t="s">
        <v>1253</v>
      </c>
      <c r="G151" s="8" t="s">
        <v>1254</v>
      </c>
      <c r="H151" s="331" t="s">
        <v>1234</v>
      </c>
    </row>
    <row r="152" spans="1:8" ht="13.2" customHeight="1" x14ac:dyDescent="0.2">
      <c r="A152" s="329" t="s">
        <v>1255</v>
      </c>
      <c r="B152" s="8" t="s">
        <v>1256</v>
      </c>
      <c r="C152" s="14" t="s">
        <v>650</v>
      </c>
      <c r="D152" s="332">
        <v>260</v>
      </c>
      <c r="E152" s="14" t="s">
        <v>20</v>
      </c>
      <c r="F152" s="8" t="s">
        <v>1257</v>
      </c>
      <c r="G152" s="8" t="s">
        <v>1258</v>
      </c>
      <c r="H152" s="331" t="s">
        <v>1259</v>
      </c>
    </row>
    <row r="153" spans="1:8" ht="13.2" customHeight="1" x14ac:dyDescent="0.2">
      <c r="A153" s="329" t="s">
        <v>1260</v>
      </c>
      <c r="B153" s="8" t="s">
        <v>1256</v>
      </c>
      <c r="C153" s="14" t="s">
        <v>650</v>
      </c>
      <c r="D153" s="332">
        <v>261</v>
      </c>
      <c r="E153" s="14" t="s">
        <v>20</v>
      </c>
      <c r="F153" s="8" t="s">
        <v>1261</v>
      </c>
      <c r="G153" s="8" t="s">
        <v>1262</v>
      </c>
      <c r="H153" s="331" t="s">
        <v>1259</v>
      </c>
    </row>
    <row r="154" spans="1:8" ht="13.2" customHeight="1" x14ac:dyDescent="0.2">
      <c r="A154" s="329" t="s">
        <v>1263</v>
      </c>
      <c r="B154" s="8" t="s">
        <v>1256</v>
      </c>
      <c r="C154" s="14" t="s">
        <v>650</v>
      </c>
      <c r="D154" s="332">
        <v>262</v>
      </c>
      <c r="E154" s="14" t="s">
        <v>20</v>
      </c>
      <c r="F154" s="8" t="s">
        <v>1264</v>
      </c>
      <c r="G154" s="8" t="s">
        <v>1265</v>
      </c>
      <c r="H154" s="331" t="s">
        <v>1259</v>
      </c>
    </row>
    <row r="155" spans="1:8" ht="13.2" customHeight="1" x14ac:dyDescent="0.2">
      <c r="A155" s="329" t="s">
        <v>1266</v>
      </c>
      <c r="B155" s="8" t="s">
        <v>1256</v>
      </c>
      <c r="C155" s="14" t="s">
        <v>650</v>
      </c>
      <c r="D155" s="332">
        <v>263</v>
      </c>
      <c r="E155" s="14" t="s">
        <v>20</v>
      </c>
      <c r="F155" s="8" t="s">
        <v>1267</v>
      </c>
      <c r="G155" s="8" t="s">
        <v>1268</v>
      </c>
      <c r="H155" s="331" t="s">
        <v>1259</v>
      </c>
    </row>
    <row r="156" spans="1:8" ht="13.2" customHeight="1" x14ac:dyDescent="0.2">
      <c r="A156" s="329" t="s">
        <v>1269</v>
      </c>
      <c r="B156" s="8" t="s">
        <v>64</v>
      </c>
      <c r="C156" s="14" t="s">
        <v>918</v>
      </c>
      <c r="D156" s="333">
        <v>264</v>
      </c>
      <c r="E156" s="14" t="s">
        <v>21</v>
      </c>
      <c r="F156" s="8"/>
      <c r="G156" s="8"/>
      <c r="H156" s="331"/>
    </row>
    <row r="157" spans="1:8" ht="13.2" customHeight="1" x14ac:dyDescent="0.2">
      <c r="A157" s="329" t="s">
        <v>1270</v>
      </c>
      <c r="B157" s="8" t="s">
        <v>64</v>
      </c>
      <c r="C157" s="14" t="s">
        <v>918</v>
      </c>
      <c r="D157" s="333">
        <v>265</v>
      </c>
      <c r="E157" s="14" t="s">
        <v>21</v>
      </c>
      <c r="F157" s="8"/>
      <c r="G157" s="8"/>
      <c r="H157" s="331"/>
    </row>
    <row r="158" spans="1:8" ht="13.2" customHeight="1" x14ac:dyDescent="0.2">
      <c r="A158" s="329" t="s">
        <v>1271</v>
      </c>
      <c r="B158" s="8" t="s">
        <v>64</v>
      </c>
      <c r="C158" s="14" t="s">
        <v>918</v>
      </c>
      <c r="D158" s="333">
        <v>266</v>
      </c>
      <c r="E158" s="14" t="s">
        <v>21</v>
      </c>
      <c r="F158" s="8"/>
      <c r="G158" s="8"/>
      <c r="H158" s="331"/>
    </row>
    <row r="159" spans="1:8" ht="13.2" customHeight="1" x14ac:dyDescent="0.2">
      <c r="A159" s="329" t="s">
        <v>1272</v>
      </c>
      <c r="B159" s="8" t="s">
        <v>64</v>
      </c>
      <c r="C159" s="14" t="s">
        <v>918</v>
      </c>
      <c r="D159" s="333">
        <v>267</v>
      </c>
      <c r="E159" s="14" t="s">
        <v>21</v>
      </c>
      <c r="F159" s="8"/>
      <c r="G159" s="8"/>
      <c r="H159" s="331"/>
    </row>
    <row r="160" spans="1:8" ht="13.2" customHeight="1" x14ac:dyDescent="0.2">
      <c r="A160" s="329" t="s">
        <v>1273</v>
      </c>
      <c r="B160" s="8" t="s">
        <v>1274</v>
      </c>
      <c r="C160" s="14" t="s">
        <v>706</v>
      </c>
      <c r="D160" s="336">
        <v>310</v>
      </c>
      <c r="E160" s="14" t="s">
        <v>1275</v>
      </c>
      <c r="F160" s="8" t="s">
        <v>1276</v>
      </c>
      <c r="G160" s="8" t="s">
        <v>1277</v>
      </c>
      <c r="H160" s="331" t="s">
        <v>1278</v>
      </c>
    </row>
    <row r="161" spans="1:8" ht="13.2" customHeight="1" x14ac:dyDescent="0.2">
      <c r="A161" s="329" t="s">
        <v>1279</v>
      </c>
      <c r="B161" s="8" t="s">
        <v>1280</v>
      </c>
      <c r="C161" s="14" t="s">
        <v>650</v>
      </c>
      <c r="D161" s="336">
        <v>311</v>
      </c>
      <c r="E161" s="14" t="s">
        <v>1275</v>
      </c>
      <c r="F161" s="8" t="s">
        <v>1281</v>
      </c>
      <c r="G161" s="8" t="s">
        <v>1282</v>
      </c>
      <c r="H161" s="331" t="s">
        <v>1283</v>
      </c>
    </row>
    <row r="162" spans="1:8" ht="13.2" customHeight="1" x14ac:dyDescent="0.2">
      <c r="A162" s="329" t="s">
        <v>1284</v>
      </c>
      <c r="B162" s="8" t="s">
        <v>1285</v>
      </c>
      <c r="C162" s="14" t="s">
        <v>650</v>
      </c>
      <c r="D162" s="330">
        <v>313</v>
      </c>
      <c r="E162" s="14" t="s">
        <v>651</v>
      </c>
      <c r="F162" s="8" t="s">
        <v>1286</v>
      </c>
      <c r="G162" s="8" t="s">
        <v>1287</v>
      </c>
      <c r="H162" s="331" t="s">
        <v>818</v>
      </c>
    </row>
    <row r="163" spans="1:8" ht="13.2" customHeight="1" x14ac:dyDescent="0.2">
      <c r="A163" s="329" t="s">
        <v>1288</v>
      </c>
      <c r="B163" s="8" t="s">
        <v>1066</v>
      </c>
      <c r="C163" s="14" t="s">
        <v>650</v>
      </c>
      <c r="D163" s="336">
        <v>314</v>
      </c>
      <c r="E163" s="14" t="s">
        <v>1275</v>
      </c>
      <c r="F163" s="41" t="s">
        <v>1289</v>
      </c>
      <c r="G163" s="8" t="s">
        <v>1290</v>
      </c>
      <c r="H163" s="331" t="s">
        <v>1291</v>
      </c>
    </row>
    <row r="164" spans="1:8" ht="13.95" customHeight="1" x14ac:dyDescent="0.2">
      <c r="A164" s="329" t="s">
        <v>1292</v>
      </c>
      <c r="B164" s="8" t="s">
        <v>1066</v>
      </c>
      <c r="C164" s="14" t="s">
        <v>650</v>
      </c>
      <c r="D164" s="336">
        <v>315</v>
      </c>
      <c r="E164" s="14" t="s">
        <v>1275</v>
      </c>
      <c r="F164" s="41" t="s">
        <v>1293</v>
      </c>
      <c r="G164" s="8" t="s">
        <v>1294</v>
      </c>
      <c r="H164" s="331" t="s">
        <v>1295</v>
      </c>
    </row>
    <row r="165" spans="1:8" ht="13.2" customHeight="1" x14ac:dyDescent="0.2">
      <c r="A165" s="329" t="s">
        <v>1296</v>
      </c>
      <c r="B165" s="8" t="s">
        <v>880</v>
      </c>
      <c r="C165" s="14" t="s">
        <v>668</v>
      </c>
      <c r="D165" s="330">
        <v>316</v>
      </c>
      <c r="E165" s="14" t="s">
        <v>651</v>
      </c>
      <c r="F165" s="41" t="s">
        <v>1297</v>
      </c>
      <c r="G165" s="8" t="s">
        <v>1298</v>
      </c>
      <c r="H165" s="331" t="s">
        <v>1299</v>
      </c>
    </row>
    <row r="166" spans="1:8" ht="13.2" customHeight="1" x14ac:dyDescent="0.2">
      <c r="A166" s="329" t="s">
        <v>1300</v>
      </c>
      <c r="B166" s="8" t="s">
        <v>1301</v>
      </c>
      <c r="C166" s="14" t="s">
        <v>668</v>
      </c>
      <c r="D166" s="336">
        <v>317</v>
      </c>
      <c r="E166" s="14" t="s">
        <v>1275</v>
      </c>
      <c r="F166" s="8"/>
      <c r="G166" s="8" t="s">
        <v>1302</v>
      </c>
      <c r="H166" s="331" t="s">
        <v>1303</v>
      </c>
    </row>
    <row r="167" spans="1:8" ht="13.2" customHeight="1" x14ac:dyDescent="0.2">
      <c r="A167" s="329" t="s">
        <v>1304</v>
      </c>
      <c r="B167" s="8" t="s">
        <v>1305</v>
      </c>
      <c r="C167" s="14" t="s">
        <v>706</v>
      </c>
      <c r="D167" s="336">
        <v>318</v>
      </c>
      <c r="E167" s="14" t="s">
        <v>1275</v>
      </c>
      <c r="F167" s="41" t="s">
        <v>1306</v>
      </c>
      <c r="G167" s="8" t="s">
        <v>1307</v>
      </c>
      <c r="H167" s="331" t="s">
        <v>1308</v>
      </c>
    </row>
    <row r="168" spans="1:8" ht="13.2" customHeight="1" x14ac:dyDescent="0.2">
      <c r="A168" s="329" t="s">
        <v>1309</v>
      </c>
      <c r="B168" s="8" t="s">
        <v>1310</v>
      </c>
      <c r="C168" s="14" t="s">
        <v>650</v>
      </c>
      <c r="D168" s="330">
        <v>319</v>
      </c>
      <c r="E168" s="14" t="s">
        <v>651</v>
      </c>
      <c r="F168" s="8">
        <v>62779</v>
      </c>
      <c r="G168" s="8">
        <v>733964</v>
      </c>
      <c r="H168" s="331" t="s">
        <v>1311</v>
      </c>
    </row>
    <row r="169" spans="1:8" ht="13.2" customHeight="1" x14ac:dyDescent="0.2">
      <c r="A169" s="329" t="s">
        <v>1312</v>
      </c>
      <c r="B169" s="8" t="s">
        <v>1207</v>
      </c>
      <c r="C169" s="14" t="s">
        <v>1029</v>
      </c>
      <c r="D169" s="336">
        <v>320</v>
      </c>
      <c r="E169" s="14" t="s">
        <v>1275</v>
      </c>
      <c r="F169" s="8" t="s">
        <v>1313</v>
      </c>
      <c r="G169" s="8" t="s">
        <v>1314</v>
      </c>
      <c r="H169" s="331" t="s">
        <v>1315</v>
      </c>
    </row>
    <row r="170" spans="1:8" ht="13.2" customHeight="1" x14ac:dyDescent="0.2">
      <c r="A170" s="329" t="s">
        <v>1316</v>
      </c>
      <c r="B170" s="8" t="s">
        <v>16</v>
      </c>
      <c r="C170" s="14" t="s">
        <v>668</v>
      </c>
      <c r="D170" s="336">
        <v>321</v>
      </c>
      <c r="E170" s="14" t="s">
        <v>1275</v>
      </c>
      <c r="F170" s="8"/>
      <c r="G170" s="41" t="s">
        <v>1317</v>
      </c>
      <c r="H170" s="331" t="s">
        <v>1318</v>
      </c>
    </row>
    <row r="171" spans="1:8" ht="13.2" customHeight="1" x14ac:dyDescent="0.2">
      <c r="A171" s="329" t="s">
        <v>1319</v>
      </c>
      <c r="B171" s="8" t="s">
        <v>16</v>
      </c>
      <c r="C171" s="14" t="s">
        <v>668</v>
      </c>
      <c r="D171" s="336">
        <v>322</v>
      </c>
      <c r="E171" s="14" t="s">
        <v>1275</v>
      </c>
      <c r="F171" s="8"/>
      <c r="G171" s="41" t="s">
        <v>1320</v>
      </c>
      <c r="H171" s="331" t="s">
        <v>1321</v>
      </c>
    </row>
    <row r="172" spans="1:8" ht="13.2" customHeight="1" x14ac:dyDescent="0.2">
      <c r="A172" s="329" t="s">
        <v>1322</v>
      </c>
      <c r="B172" s="8" t="s">
        <v>1280</v>
      </c>
      <c r="C172" s="14" t="s">
        <v>650</v>
      </c>
      <c r="D172" s="336">
        <v>323</v>
      </c>
      <c r="E172" s="14" t="s">
        <v>1275</v>
      </c>
      <c r="F172" s="8" t="s">
        <v>1323</v>
      </c>
      <c r="G172" s="8" t="s">
        <v>1324</v>
      </c>
      <c r="H172" s="331" t="s">
        <v>1325</v>
      </c>
    </row>
    <row r="173" spans="1:8" ht="13.2" customHeight="1" x14ac:dyDescent="0.2">
      <c r="A173" s="329" t="s">
        <v>1326</v>
      </c>
      <c r="B173" s="8" t="s">
        <v>1327</v>
      </c>
      <c r="C173" s="14" t="s">
        <v>668</v>
      </c>
      <c r="D173" s="336">
        <v>324</v>
      </c>
      <c r="E173" s="14" t="s">
        <v>1275</v>
      </c>
      <c r="F173" s="8"/>
      <c r="G173" s="8" t="s">
        <v>1328</v>
      </c>
      <c r="H173" s="331" t="s">
        <v>1329</v>
      </c>
    </row>
    <row r="174" spans="1:8" ht="13.2" customHeight="1" x14ac:dyDescent="0.2">
      <c r="A174" s="329" t="s">
        <v>1330</v>
      </c>
      <c r="B174" s="8" t="s">
        <v>1331</v>
      </c>
      <c r="C174" s="14" t="s">
        <v>650</v>
      </c>
      <c r="D174" s="330">
        <v>325</v>
      </c>
      <c r="E174" s="14" t="s">
        <v>651</v>
      </c>
      <c r="F174" s="8" t="s">
        <v>1332</v>
      </c>
      <c r="G174" s="8" t="s">
        <v>1333</v>
      </c>
      <c r="H174" s="331" t="s">
        <v>1203</v>
      </c>
    </row>
    <row r="175" spans="1:8" ht="13.2" customHeight="1" x14ac:dyDescent="0.2">
      <c r="A175" s="329" t="s">
        <v>1334</v>
      </c>
      <c r="B175" s="8" t="s">
        <v>1335</v>
      </c>
      <c r="C175" s="14" t="s">
        <v>706</v>
      </c>
      <c r="D175" s="333">
        <v>328</v>
      </c>
      <c r="E175" s="14" t="s">
        <v>1095</v>
      </c>
      <c r="F175" s="8"/>
      <c r="G175" s="8"/>
      <c r="H175" s="331"/>
    </row>
    <row r="176" spans="1:8" ht="13.2" customHeight="1" x14ac:dyDescent="0.2">
      <c r="A176" s="329" t="s">
        <v>550</v>
      </c>
      <c r="B176" s="8" t="s">
        <v>1336</v>
      </c>
      <c r="C176" s="14" t="s">
        <v>209</v>
      </c>
      <c r="D176" s="333">
        <v>329</v>
      </c>
      <c r="E176" s="14" t="s">
        <v>1337</v>
      </c>
      <c r="F176" s="41" t="s">
        <v>1338</v>
      </c>
      <c r="G176" s="8" t="s">
        <v>1339</v>
      </c>
      <c r="H176" s="331" t="s">
        <v>1340</v>
      </c>
    </row>
    <row r="177" spans="1:8" ht="13.2" customHeight="1" x14ac:dyDescent="0.2">
      <c r="A177" s="329" t="s">
        <v>1341</v>
      </c>
      <c r="B177" s="8" t="s">
        <v>1342</v>
      </c>
      <c r="C177" s="14" t="s">
        <v>650</v>
      </c>
      <c r="D177" s="330">
        <v>400</v>
      </c>
      <c r="E177" s="14" t="s">
        <v>651</v>
      </c>
      <c r="F177" s="8" t="s">
        <v>1343</v>
      </c>
      <c r="G177" s="8" t="s">
        <v>1344</v>
      </c>
      <c r="H177" s="331" t="s">
        <v>1345</v>
      </c>
    </row>
    <row r="178" spans="1:8" ht="13.2" customHeight="1" x14ac:dyDescent="0.2">
      <c r="A178" s="329" t="s">
        <v>1346</v>
      </c>
      <c r="B178" s="8" t="s">
        <v>1347</v>
      </c>
      <c r="C178" s="14" t="s">
        <v>691</v>
      </c>
      <c r="D178" s="330">
        <v>401</v>
      </c>
      <c r="E178" s="14" t="s">
        <v>651</v>
      </c>
      <c r="F178" s="41" t="s">
        <v>1348</v>
      </c>
      <c r="G178" s="41" t="s">
        <v>1349</v>
      </c>
      <c r="H178" s="331" t="s">
        <v>1350</v>
      </c>
    </row>
    <row r="179" spans="1:8" ht="13.95" customHeight="1" x14ac:dyDescent="0.2">
      <c r="A179" s="329" t="s">
        <v>1351</v>
      </c>
      <c r="B179" s="8" t="s">
        <v>1347</v>
      </c>
      <c r="C179" s="14" t="s">
        <v>691</v>
      </c>
      <c r="D179" s="330">
        <v>402</v>
      </c>
      <c r="E179" s="14" t="s">
        <v>651</v>
      </c>
      <c r="F179" s="8" t="s">
        <v>1352</v>
      </c>
      <c r="G179" s="8" t="s">
        <v>1353</v>
      </c>
      <c r="H179" s="331" t="s">
        <v>1315</v>
      </c>
    </row>
    <row r="180" spans="1:8" ht="13.2" customHeight="1" x14ac:dyDescent="0.2">
      <c r="A180" s="329" t="s">
        <v>1354</v>
      </c>
      <c r="B180" s="8" t="s">
        <v>1003</v>
      </c>
      <c r="C180" s="14" t="s">
        <v>650</v>
      </c>
      <c r="D180" s="330">
        <v>403</v>
      </c>
      <c r="E180" s="14" t="s">
        <v>651</v>
      </c>
      <c r="F180" s="8" t="s">
        <v>1355</v>
      </c>
      <c r="G180" s="8" t="s">
        <v>1356</v>
      </c>
      <c r="H180" s="331" t="s">
        <v>1357</v>
      </c>
    </row>
    <row r="181" spans="1:8" ht="13.2" customHeight="1" x14ac:dyDescent="0.2">
      <c r="A181" s="329" t="s">
        <v>1358</v>
      </c>
      <c r="B181" s="8" t="s">
        <v>811</v>
      </c>
      <c r="C181" s="14" t="s">
        <v>650</v>
      </c>
      <c r="D181" s="330">
        <v>404</v>
      </c>
      <c r="E181" s="14" t="s">
        <v>651</v>
      </c>
      <c r="F181" s="8" t="s">
        <v>1359</v>
      </c>
      <c r="G181" s="8" t="s">
        <v>1360</v>
      </c>
      <c r="H181" s="331" t="s">
        <v>1361</v>
      </c>
    </row>
    <row r="182" spans="1:8" ht="13.2" customHeight="1" x14ac:dyDescent="0.2">
      <c r="A182" s="329" t="s">
        <v>1362</v>
      </c>
      <c r="B182" s="8" t="s">
        <v>667</v>
      </c>
      <c r="C182" s="14" t="s">
        <v>668</v>
      </c>
      <c r="D182" s="333">
        <v>405</v>
      </c>
      <c r="E182" s="14" t="s">
        <v>742</v>
      </c>
      <c r="F182" s="8"/>
      <c r="G182" s="8" t="s">
        <v>1363</v>
      </c>
      <c r="H182" s="331" t="s">
        <v>1364</v>
      </c>
    </row>
    <row r="183" spans="1:8" ht="13.2" customHeight="1" x14ac:dyDescent="0.2">
      <c r="A183" s="329" t="s">
        <v>1365</v>
      </c>
      <c r="B183" s="8" t="s">
        <v>1366</v>
      </c>
      <c r="C183" s="14" t="s">
        <v>650</v>
      </c>
      <c r="D183" s="330">
        <v>406</v>
      </c>
      <c r="E183" s="14" t="s">
        <v>651</v>
      </c>
      <c r="F183" s="8" t="s">
        <v>1367</v>
      </c>
      <c r="G183" s="8" t="s">
        <v>1368</v>
      </c>
      <c r="H183" s="331" t="s">
        <v>1369</v>
      </c>
    </row>
    <row r="184" spans="1:8" ht="13.95" customHeight="1" x14ac:dyDescent="0.2">
      <c r="A184" s="329" t="s">
        <v>1370</v>
      </c>
      <c r="B184" s="8" t="s">
        <v>1371</v>
      </c>
      <c r="C184" s="14" t="s">
        <v>1029</v>
      </c>
      <c r="D184" s="330">
        <v>407</v>
      </c>
      <c r="E184" s="14" t="s">
        <v>651</v>
      </c>
      <c r="F184" s="8" t="s">
        <v>1372</v>
      </c>
      <c r="G184" s="8" t="s">
        <v>1373</v>
      </c>
      <c r="H184" s="331" t="s">
        <v>1203</v>
      </c>
    </row>
    <row r="185" spans="1:8" ht="13.2" customHeight="1" x14ac:dyDescent="0.2">
      <c r="A185" s="329" t="s">
        <v>1374</v>
      </c>
      <c r="B185" s="8" t="s">
        <v>1094</v>
      </c>
      <c r="C185" s="14" t="s">
        <v>691</v>
      </c>
      <c r="D185" s="333">
        <v>408</v>
      </c>
      <c r="E185" s="14" t="s">
        <v>742</v>
      </c>
      <c r="F185" s="41" t="s">
        <v>1375</v>
      </c>
      <c r="G185" s="8" t="s">
        <v>1376</v>
      </c>
      <c r="H185" s="331" t="s">
        <v>1377</v>
      </c>
    </row>
    <row r="186" spans="1:8" ht="13.2" customHeight="1" x14ac:dyDescent="0.2">
      <c r="A186" s="329" t="s">
        <v>1378</v>
      </c>
      <c r="B186" s="8" t="s">
        <v>1379</v>
      </c>
      <c r="C186" s="14" t="s">
        <v>650</v>
      </c>
      <c r="D186" s="330">
        <v>409</v>
      </c>
      <c r="E186" s="14" t="s">
        <v>651</v>
      </c>
      <c r="F186" s="8" t="s">
        <v>1380</v>
      </c>
      <c r="G186" s="8" t="s">
        <v>1381</v>
      </c>
      <c r="H186" s="331" t="s">
        <v>1210</v>
      </c>
    </row>
    <row r="187" spans="1:8" ht="13.95" customHeight="1" x14ac:dyDescent="0.2">
      <c r="A187" s="329" t="s">
        <v>1382</v>
      </c>
      <c r="B187" s="8" t="s">
        <v>1383</v>
      </c>
      <c r="C187" s="14" t="s">
        <v>918</v>
      </c>
      <c r="D187" s="330">
        <v>410</v>
      </c>
      <c r="E187" s="14" t="s">
        <v>651</v>
      </c>
      <c r="F187" s="8"/>
      <c r="G187" s="8" t="s">
        <v>1384</v>
      </c>
      <c r="H187" s="331" t="s">
        <v>1385</v>
      </c>
    </row>
    <row r="188" spans="1:8" x14ac:dyDescent="0.2">
      <c r="A188" s="329" t="s">
        <v>95</v>
      </c>
      <c r="B188" s="8" t="s">
        <v>1386</v>
      </c>
      <c r="C188" s="337" t="s">
        <v>706</v>
      </c>
      <c r="D188" s="333">
        <v>411</v>
      </c>
      <c r="E188" s="335" t="s">
        <v>256</v>
      </c>
      <c r="F188" s="8" t="s">
        <v>1387</v>
      </c>
      <c r="G188" s="8" t="s">
        <v>1388</v>
      </c>
      <c r="H188" s="331" t="s">
        <v>1389</v>
      </c>
    </row>
    <row r="189" spans="1:8" x14ac:dyDescent="0.2">
      <c r="A189" s="329" t="s">
        <v>96</v>
      </c>
      <c r="B189" s="8" t="s">
        <v>1386</v>
      </c>
      <c r="C189" s="337" t="s">
        <v>706</v>
      </c>
      <c r="D189" s="333">
        <v>412</v>
      </c>
      <c r="E189" s="335" t="s">
        <v>256</v>
      </c>
      <c r="F189" s="8" t="s">
        <v>1390</v>
      </c>
      <c r="G189" s="8" t="s">
        <v>1391</v>
      </c>
      <c r="H189" s="331" t="s">
        <v>1392</v>
      </c>
    </row>
    <row r="190" spans="1:8" x14ac:dyDescent="0.2">
      <c r="A190" s="329" t="s">
        <v>97</v>
      </c>
      <c r="B190" s="8" t="s">
        <v>1386</v>
      </c>
      <c r="C190" s="337" t="s">
        <v>706</v>
      </c>
      <c r="D190" s="333">
        <v>413</v>
      </c>
      <c r="E190" s="335" t="s">
        <v>256</v>
      </c>
      <c r="F190" s="8" t="s">
        <v>1393</v>
      </c>
      <c r="G190" s="8" t="s">
        <v>1394</v>
      </c>
      <c r="H190" s="331" t="s">
        <v>1392</v>
      </c>
    </row>
    <row r="191" spans="1:8" x14ac:dyDescent="0.2">
      <c r="A191" s="329" t="s">
        <v>98</v>
      </c>
      <c r="B191" s="8" t="s">
        <v>1386</v>
      </c>
      <c r="C191" s="337" t="s">
        <v>706</v>
      </c>
      <c r="D191" s="333">
        <v>414</v>
      </c>
      <c r="E191" s="335" t="s">
        <v>256</v>
      </c>
      <c r="F191" s="8" t="s">
        <v>1395</v>
      </c>
      <c r="G191" s="8" t="s">
        <v>1396</v>
      </c>
      <c r="H191" s="331" t="s">
        <v>1397</v>
      </c>
    </row>
    <row r="192" spans="1:8" x14ac:dyDescent="0.2">
      <c r="A192" s="329" t="s">
        <v>99</v>
      </c>
      <c r="B192" s="8" t="s">
        <v>1386</v>
      </c>
      <c r="C192" s="337" t="s">
        <v>706</v>
      </c>
      <c r="D192" s="333">
        <v>415</v>
      </c>
      <c r="E192" s="335" t="s">
        <v>256</v>
      </c>
      <c r="F192" s="8" t="s">
        <v>1398</v>
      </c>
      <c r="G192" s="8" t="s">
        <v>1399</v>
      </c>
      <c r="H192" s="331" t="s">
        <v>1400</v>
      </c>
    </row>
    <row r="193" spans="1:8" x14ac:dyDescent="0.2">
      <c r="A193" s="329" t="s">
        <v>100</v>
      </c>
      <c r="B193" s="8" t="s">
        <v>1386</v>
      </c>
      <c r="C193" s="337" t="s">
        <v>706</v>
      </c>
      <c r="D193" s="333">
        <v>416</v>
      </c>
      <c r="E193" s="335" t="s">
        <v>256</v>
      </c>
      <c r="F193" s="8" t="s">
        <v>1401</v>
      </c>
      <c r="G193" s="8" t="s">
        <v>1402</v>
      </c>
      <c r="H193" s="331" t="s">
        <v>1400</v>
      </c>
    </row>
    <row r="194" spans="1:8" x14ac:dyDescent="0.2">
      <c r="A194" s="502" t="s">
        <v>1478</v>
      </c>
      <c r="B194" s="8" t="s">
        <v>1403</v>
      </c>
      <c r="C194" s="337" t="s">
        <v>706</v>
      </c>
      <c r="D194" s="333">
        <v>417</v>
      </c>
      <c r="E194" s="14"/>
      <c r="F194" s="8" t="s">
        <v>1404</v>
      </c>
      <c r="G194" s="8" t="s">
        <v>1405</v>
      </c>
      <c r="H194" s="331" t="s">
        <v>1406</v>
      </c>
    </row>
    <row r="195" spans="1:8" x14ac:dyDescent="0.2">
      <c r="A195" s="329" t="s">
        <v>1407</v>
      </c>
      <c r="B195" s="8" t="s">
        <v>1408</v>
      </c>
      <c r="C195" s="337" t="s">
        <v>706</v>
      </c>
      <c r="D195" s="333">
        <v>418</v>
      </c>
      <c r="E195" s="335" t="s">
        <v>256</v>
      </c>
      <c r="F195" s="8" t="s">
        <v>1409</v>
      </c>
      <c r="G195" s="8" t="s">
        <v>1410</v>
      </c>
      <c r="H195" s="331" t="s">
        <v>1406</v>
      </c>
    </row>
    <row r="196" spans="1:8" x14ac:dyDescent="0.2">
      <c r="A196" s="502" t="s">
        <v>1411</v>
      </c>
      <c r="B196" s="8" t="s">
        <v>1403</v>
      </c>
      <c r="C196" s="337" t="s">
        <v>706</v>
      </c>
      <c r="D196" s="333">
        <v>419</v>
      </c>
      <c r="E196" s="14"/>
      <c r="F196" s="8" t="s">
        <v>1412</v>
      </c>
      <c r="G196" s="8" t="s">
        <v>1413</v>
      </c>
      <c r="H196" s="331" t="s">
        <v>1406</v>
      </c>
    </row>
    <row r="197" spans="1:8" x14ac:dyDescent="0.2">
      <c r="A197" s="329" t="s">
        <v>191</v>
      </c>
      <c r="B197" s="8" t="s">
        <v>1414</v>
      </c>
      <c r="C197" s="337" t="s">
        <v>918</v>
      </c>
      <c r="D197" s="333">
        <v>420</v>
      </c>
      <c r="E197" s="335" t="s">
        <v>39</v>
      </c>
      <c r="F197" s="8" t="s">
        <v>1415</v>
      </c>
      <c r="G197" s="8" t="s">
        <v>1416</v>
      </c>
      <c r="H197" s="331" t="s">
        <v>1417</v>
      </c>
    </row>
    <row r="198" spans="1:8" ht="10.8" thickBot="1" x14ac:dyDescent="0.25">
      <c r="A198" s="338" t="s">
        <v>192</v>
      </c>
      <c r="B198" s="339" t="s">
        <v>1414</v>
      </c>
      <c r="C198" s="340" t="s">
        <v>918</v>
      </c>
      <c r="D198" s="341">
        <v>421</v>
      </c>
      <c r="E198" s="342" t="s">
        <v>39</v>
      </c>
      <c r="F198" s="339" t="s">
        <v>1418</v>
      </c>
      <c r="G198" s="339" t="s">
        <v>1419</v>
      </c>
      <c r="H198" s="343" t="s">
        <v>1417</v>
      </c>
    </row>
  </sheetData>
  <autoFilter ref="A1:AN198" xr:uid="{00000000-0009-0000-0000-000009000000}"/>
  <customSheetViews>
    <customSheetView guid="{60788006-5C2B-4CAF-8D5B-3FA82F99F0BB}" scale="90" showAutoFilter="1">
      <pane ySplit="2" topLeftCell="A162" activePane="bottomLeft" state="frozen"/>
      <selection pane="bottomLeft" activeCell="A69" sqref="A69"/>
      <pageMargins left="0" right="0" top="0" bottom="0" header="0.31496062992125984" footer="0.31496062992125984"/>
      <pageSetup paperSize="9" scale="90" orientation="portrait" r:id="rId1"/>
      <autoFilter ref="A1:AN198" xr:uid="{00000000-0009-0000-0000-000009000000}"/>
    </customSheetView>
    <customSheetView guid="{6C0BD6A7-6718-429D-82D9-D2FE0341EA2C}" scale="90" showAutoFilter="1">
      <pane ySplit="2" topLeftCell="A162" activePane="bottomLeft" state="frozen"/>
      <selection pane="bottomLeft" activeCell="B175" sqref="B175"/>
      <pageMargins left="0" right="0" top="0" bottom="0" header="0.31496062992125984" footer="0.31496062992125984"/>
      <pageSetup paperSize="9" scale="90" orientation="portrait" r:id="rId2"/>
      <autoFilter ref="A1:AN198" xr:uid="{E5A5E1A2-E8BC-409C-98C2-8F1CF134AFCC}"/>
    </customSheetView>
    <customSheetView guid="{594C4AB0-8D5F-4373-9663-410F4413FE3A}" scale="90" showPageBreaks="1" showAutoFilter="1">
      <pane ySplit="2" topLeftCell="A162" activePane="bottomLeft" state="frozen"/>
      <selection pane="bottomLeft" activeCell="G210" sqref="G210"/>
      <pageMargins left="0" right="0" top="0" bottom="0" header="0.31496062992125984" footer="0.31496062992125984"/>
      <pageSetup paperSize="9" scale="90" orientation="portrait" r:id="rId3"/>
      <autoFilter ref="A1:AN198" xr:uid="{4AF39678-C718-4803-96E4-5A06F6D5C302}"/>
    </customSheetView>
    <customSheetView guid="{DF69299D-7752-4436-A45D-28F739CEE21B}" scale="90" showAutoFilter="1">
      <pane ySplit="2" topLeftCell="A162" activePane="bottomLeft" state="frozen"/>
      <selection pane="bottomLeft" activeCell="A69" sqref="A69"/>
      <pageMargins left="0" right="0" top="0" bottom="0" header="0.31496062992125984" footer="0.31496062992125984"/>
      <pageSetup paperSize="9" scale="90" orientation="portrait" r:id="rId4"/>
      <autoFilter ref="A1:AN198" xr:uid="{80908899-FDA9-4871-BFDF-A4E2BBE59898}"/>
    </customSheetView>
  </customSheetViews>
  <hyperlinks>
    <hyperlink ref="A1" location="DESCRIPTIONS!A1" display="desc" xr:uid="{00000000-0004-0000-0900-000000000000}"/>
  </hyperlinks>
  <pageMargins left="0" right="0" top="0" bottom="0" header="0.31496062992125984" footer="0.31496062992125984"/>
  <pageSetup paperSize="9" scale="90" orientation="portrait" r:id="rId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AY115"/>
  <sheetViews>
    <sheetView topLeftCell="I1" workbookViewId="0">
      <pane ySplit="2" topLeftCell="A3" activePane="bottomLeft" state="frozen"/>
      <selection activeCell="I1" sqref="I1"/>
      <selection pane="bottomLeft" activeCell="R12" sqref="R12"/>
    </sheetView>
  </sheetViews>
  <sheetFormatPr defaultColWidth="9.21875" defaultRowHeight="13.2" x14ac:dyDescent="0.25"/>
  <cols>
    <col min="1" max="1" width="11.21875" style="184" bestFit="1" customWidth="1"/>
    <col min="2" max="2" width="6.77734375" style="184" hidden="1" customWidth="1"/>
    <col min="3" max="3" width="30.21875" style="266" customWidth="1"/>
    <col min="4" max="4" width="7" style="277" bestFit="1" customWidth="1"/>
    <col min="5" max="5" width="11.21875" style="184" bestFit="1" customWidth="1"/>
    <col min="6" max="6" width="13.21875" style="184" customWidth="1"/>
    <col min="7" max="7" width="14.5546875" style="184" customWidth="1"/>
    <col min="8" max="8" width="23.77734375" style="184" customWidth="1"/>
    <col min="9" max="9" width="15.5546875" style="185" customWidth="1"/>
    <col min="10" max="10" width="27" style="185" customWidth="1"/>
    <col min="11" max="11" width="23.5546875" style="238" customWidth="1"/>
    <col min="12" max="12" width="14.5546875" style="239" customWidth="1"/>
    <col min="13" max="15" width="12.21875" style="190" customWidth="1"/>
    <col min="16" max="16" width="13.21875" style="190" customWidth="1"/>
    <col min="17" max="17" width="10" style="190" customWidth="1"/>
    <col min="18" max="18" width="10" style="317" customWidth="1"/>
    <col min="19" max="19" width="12.21875" style="257" customWidth="1"/>
    <col min="20" max="20" width="20.21875" style="190" customWidth="1"/>
    <col min="21" max="51" width="9.21875" style="190"/>
    <col min="52" max="16384" width="9.21875" style="184"/>
  </cols>
  <sheetData>
    <row r="1" spans="1:51" s="180" customFormat="1" x14ac:dyDescent="0.25">
      <c r="A1" s="171" t="s">
        <v>494</v>
      </c>
      <c r="B1" s="171" t="s">
        <v>240</v>
      </c>
      <c r="C1" s="259" t="s">
        <v>241</v>
      </c>
      <c r="D1" s="259" t="s">
        <v>197</v>
      </c>
      <c r="E1" s="171" t="s">
        <v>242</v>
      </c>
      <c r="F1" s="171" t="s">
        <v>243</v>
      </c>
      <c r="G1" s="171" t="s">
        <v>244</v>
      </c>
      <c r="H1" s="171"/>
      <c r="I1" s="172" t="s">
        <v>245</v>
      </c>
      <c r="J1" s="172" t="s">
        <v>246</v>
      </c>
      <c r="K1" s="173" t="s">
        <v>247</v>
      </c>
      <c r="L1" s="174" t="s">
        <v>248</v>
      </c>
      <c r="M1" s="175" t="s">
        <v>249</v>
      </c>
      <c r="N1" s="176" t="s">
        <v>250</v>
      </c>
      <c r="O1" s="177" t="s">
        <v>251</v>
      </c>
      <c r="P1" s="178" t="s">
        <v>252</v>
      </c>
      <c r="Q1" s="179" t="s">
        <v>253</v>
      </c>
      <c r="R1" s="258" t="s">
        <v>545</v>
      </c>
      <c r="S1" s="255" t="s">
        <v>541</v>
      </c>
      <c r="T1" s="179" t="s">
        <v>1437</v>
      </c>
      <c r="U1" s="179"/>
      <c r="V1" s="179"/>
      <c r="W1" s="179"/>
      <c r="X1" s="179"/>
      <c r="Y1" s="179"/>
      <c r="Z1" s="179"/>
      <c r="AA1" s="179"/>
      <c r="AB1" s="179"/>
      <c r="AC1" s="179"/>
      <c r="AD1" s="179"/>
      <c r="AE1" s="179"/>
      <c r="AF1" s="179"/>
      <c r="AG1" s="179"/>
      <c r="AH1" s="179"/>
      <c r="AI1" s="179"/>
      <c r="AJ1" s="179"/>
      <c r="AK1" s="179"/>
      <c r="AL1" s="179"/>
      <c r="AM1" s="179"/>
      <c r="AN1" s="179"/>
      <c r="AO1" s="179"/>
      <c r="AP1" s="179"/>
      <c r="AQ1" s="179"/>
      <c r="AR1" s="179"/>
      <c r="AS1" s="179"/>
      <c r="AT1" s="179"/>
      <c r="AU1" s="179"/>
      <c r="AV1" s="179"/>
      <c r="AW1" s="179"/>
      <c r="AX1" s="179"/>
      <c r="AY1" s="179"/>
    </row>
    <row r="2" spans="1:51" x14ac:dyDescent="0.25">
      <c r="A2" s="181" t="s">
        <v>285</v>
      </c>
      <c r="B2" s="181" t="s">
        <v>168</v>
      </c>
      <c r="C2" s="251" t="s">
        <v>587</v>
      </c>
      <c r="D2" s="267" t="s">
        <v>196</v>
      </c>
      <c r="E2" s="181" t="s">
        <v>254</v>
      </c>
      <c r="F2" s="182">
        <v>2931.11</v>
      </c>
      <c r="G2" s="183">
        <f>+F2*12</f>
        <v>35173.32</v>
      </c>
      <c r="H2" s="184" t="s">
        <v>258</v>
      </c>
      <c r="I2" s="185">
        <v>20000</v>
      </c>
      <c r="J2" s="185">
        <v>10774</v>
      </c>
      <c r="K2" s="186">
        <v>15000</v>
      </c>
      <c r="L2" s="245">
        <f>123023.68</f>
        <v>123023.67999999999</v>
      </c>
      <c r="M2" s="187">
        <f>+F2*12</f>
        <v>35173.32</v>
      </c>
      <c r="N2" s="188">
        <v>52842.92</v>
      </c>
      <c r="O2" s="189">
        <f>+L2*0.9/5</f>
        <v>22144.2624</v>
      </c>
      <c r="P2" s="190">
        <v>5269.45</v>
      </c>
      <c r="Q2" s="190">
        <f>239+36</f>
        <v>275</v>
      </c>
      <c r="R2" s="316" t="s">
        <v>540</v>
      </c>
      <c r="S2" s="252">
        <v>151283.22</v>
      </c>
    </row>
    <row r="3" spans="1:51" x14ac:dyDescent="0.25">
      <c r="A3" s="191" t="s">
        <v>255</v>
      </c>
      <c r="B3" s="191" t="s">
        <v>154</v>
      </c>
      <c r="C3" s="251" t="s">
        <v>588</v>
      </c>
      <c r="D3" s="268" t="s">
        <v>256</v>
      </c>
      <c r="E3" s="191" t="s">
        <v>257</v>
      </c>
      <c r="F3" s="192">
        <v>3684.87</v>
      </c>
      <c r="G3" s="192">
        <f t="shared" ref="G3:G28" si="0">+F3*12</f>
        <v>44218.44</v>
      </c>
      <c r="H3" s="193" t="s">
        <v>258</v>
      </c>
      <c r="I3" s="194">
        <v>30000</v>
      </c>
      <c r="J3" s="194">
        <v>13653</v>
      </c>
      <c r="K3" s="195">
        <v>15000</v>
      </c>
      <c r="L3" s="196">
        <v>163934.71</v>
      </c>
      <c r="M3" s="197">
        <f t="shared" ref="M3:M28" si="1">+F3*12</f>
        <v>44218.44</v>
      </c>
      <c r="N3" s="198">
        <v>11431.5</v>
      </c>
      <c r="O3" s="199">
        <f>+L3*0.9/5</f>
        <v>29508.247800000001</v>
      </c>
      <c r="P3" s="200">
        <v>5481.62</v>
      </c>
      <c r="Q3" s="190">
        <v>329</v>
      </c>
      <c r="R3" s="316" t="s">
        <v>516</v>
      </c>
      <c r="S3" s="252">
        <v>173124.44</v>
      </c>
      <c r="T3" s="184"/>
      <c r="U3" s="184"/>
      <c r="V3" s="184"/>
      <c r="W3" s="184"/>
      <c r="X3" s="184"/>
      <c r="Y3" s="184"/>
      <c r="Z3" s="184"/>
      <c r="AA3" s="184"/>
      <c r="AB3" s="184"/>
      <c r="AC3" s="184"/>
      <c r="AD3" s="184"/>
      <c r="AE3" s="184"/>
      <c r="AF3" s="184"/>
      <c r="AG3" s="184"/>
      <c r="AH3" s="184"/>
      <c r="AI3" s="184"/>
      <c r="AJ3" s="184"/>
      <c r="AK3" s="184"/>
      <c r="AL3" s="184"/>
      <c r="AM3" s="184"/>
      <c r="AN3" s="184"/>
      <c r="AO3" s="184"/>
      <c r="AP3" s="184"/>
      <c r="AQ3" s="184"/>
      <c r="AR3" s="184"/>
      <c r="AS3" s="184"/>
      <c r="AT3" s="184"/>
      <c r="AU3" s="184"/>
      <c r="AV3" s="184"/>
      <c r="AW3" s="184"/>
      <c r="AX3" s="184"/>
      <c r="AY3" s="184"/>
    </row>
    <row r="4" spans="1:51" x14ac:dyDescent="0.25">
      <c r="A4" s="201" t="s">
        <v>259</v>
      </c>
      <c r="B4" s="201" t="s">
        <v>155</v>
      </c>
      <c r="C4" s="248" t="s">
        <v>589</v>
      </c>
      <c r="D4" s="268" t="s">
        <v>256</v>
      </c>
      <c r="E4" s="201" t="s">
        <v>260</v>
      </c>
      <c r="F4" s="202">
        <v>3596.62</v>
      </c>
      <c r="G4" s="202">
        <f t="shared" si="0"/>
        <v>43159.44</v>
      </c>
      <c r="H4" s="193" t="s">
        <v>258</v>
      </c>
      <c r="I4" s="194">
        <v>30000</v>
      </c>
      <c r="J4" s="194">
        <v>17962</v>
      </c>
      <c r="K4" s="195">
        <v>20000</v>
      </c>
      <c r="L4" s="196">
        <v>159552.98000000001</v>
      </c>
      <c r="M4" s="197">
        <f t="shared" si="1"/>
        <v>43159.44</v>
      </c>
      <c r="N4" s="198">
        <v>11248.84</v>
      </c>
      <c r="O4" s="199">
        <f t="shared" ref="O4:O28" si="2">+L4*0.9/5</f>
        <v>28719.536400000001</v>
      </c>
      <c r="P4" s="200">
        <v>5481.62</v>
      </c>
      <c r="Q4" s="190">
        <f t="shared" ref="Q4:Q28" si="3">293+36</f>
        <v>329</v>
      </c>
      <c r="R4" s="316" t="s">
        <v>517</v>
      </c>
      <c r="S4" s="252">
        <v>169141.04</v>
      </c>
      <c r="T4" s="184"/>
      <c r="U4" s="184"/>
      <c r="V4" s="184"/>
      <c r="W4" s="184"/>
      <c r="X4" s="184"/>
      <c r="Y4" s="184"/>
      <c r="Z4" s="184"/>
      <c r="AA4" s="184"/>
      <c r="AB4" s="184"/>
      <c r="AC4" s="184"/>
      <c r="AD4" s="184"/>
      <c r="AE4" s="184"/>
      <c r="AF4" s="184"/>
      <c r="AG4" s="184"/>
      <c r="AH4" s="184"/>
      <c r="AI4" s="184"/>
      <c r="AJ4" s="184"/>
      <c r="AK4" s="184"/>
      <c r="AL4" s="184"/>
      <c r="AM4" s="184"/>
      <c r="AN4" s="184"/>
      <c r="AO4" s="184"/>
      <c r="AP4" s="184"/>
      <c r="AQ4" s="184"/>
      <c r="AR4" s="184"/>
      <c r="AS4" s="184"/>
      <c r="AT4" s="184"/>
      <c r="AU4" s="184"/>
      <c r="AV4" s="184"/>
      <c r="AW4" s="184"/>
      <c r="AX4" s="184"/>
      <c r="AY4" s="184"/>
    </row>
    <row r="5" spans="1:51" x14ac:dyDescent="0.25">
      <c r="A5" s="201" t="s">
        <v>261</v>
      </c>
      <c r="B5" s="201" t="s">
        <v>156</v>
      </c>
      <c r="C5" s="248" t="s">
        <v>589</v>
      </c>
      <c r="D5" s="269" t="s">
        <v>256</v>
      </c>
      <c r="E5" s="201" t="s">
        <v>260</v>
      </c>
      <c r="F5" s="202">
        <v>3596.62</v>
      </c>
      <c r="G5" s="202">
        <f t="shared" si="0"/>
        <v>43159.44</v>
      </c>
      <c r="H5" s="193" t="s">
        <v>258</v>
      </c>
      <c r="I5" s="194">
        <v>30000</v>
      </c>
      <c r="J5" s="194">
        <v>15653</v>
      </c>
      <c r="K5" s="195">
        <v>20000</v>
      </c>
      <c r="L5" s="196">
        <v>159552.98000000001</v>
      </c>
      <c r="M5" s="197">
        <f t="shared" si="1"/>
        <v>43159.44</v>
      </c>
      <c r="N5" s="198">
        <v>11248.84</v>
      </c>
      <c r="O5" s="199">
        <f t="shared" si="2"/>
        <v>28719.536400000001</v>
      </c>
      <c r="P5" s="200">
        <v>5481.62</v>
      </c>
      <c r="Q5" s="190">
        <f t="shared" si="3"/>
        <v>329</v>
      </c>
      <c r="R5" s="316" t="s">
        <v>518</v>
      </c>
      <c r="S5" s="252">
        <v>169141.04</v>
      </c>
      <c r="T5" s="184"/>
      <c r="U5" s="184"/>
      <c r="V5" s="184"/>
      <c r="W5" s="184"/>
      <c r="X5" s="184"/>
      <c r="Y5" s="184"/>
      <c r="Z5" s="184"/>
      <c r="AA5" s="184"/>
      <c r="AB5" s="184"/>
      <c r="AC5" s="184"/>
      <c r="AD5" s="184"/>
      <c r="AE5" s="184"/>
      <c r="AF5" s="184"/>
      <c r="AG5" s="184"/>
      <c r="AH5" s="184"/>
      <c r="AI5" s="184"/>
      <c r="AJ5" s="184"/>
      <c r="AK5" s="184"/>
      <c r="AL5" s="184"/>
      <c r="AM5" s="184"/>
      <c r="AN5" s="184"/>
      <c r="AO5" s="184"/>
      <c r="AP5" s="184"/>
      <c r="AQ5" s="184"/>
      <c r="AR5" s="184"/>
      <c r="AS5" s="184"/>
      <c r="AT5" s="184"/>
      <c r="AU5" s="184"/>
      <c r="AV5" s="184"/>
      <c r="AW5" s="184"/>
      <c r="AX5" s="184"/>
      <c r="AY5" s="184"/>
    </row>
    <row r="6" spans="1:51" x14ac:dyDescent="0.25">
      <c r="A6" s="201" t="s">
        <v>263</v>
      </c>
      <c r="B6" s="201" t="s">
        <v>157</v>
      </c>
      <c r="C6" s="248" t="s">
        <v>589</v>
      </c>
      <c r="D6" s="269" t="s">
        <v>256</v>
      </c>
      <c r="E6" s="201" t="s">
        <v>260</v>
      </c>
      <c r="F6" s="202">
        <v>3596.62</v>
      </c>
      <c r="G6" s="202">
        <f t="shared" si="0"/>
        <v>43159.44</v>
      </c>
      <c r="H6" s="193" t="s">
        <v>258</v>
      </c>
      <c r="I6" s="194">
        <v>10000</v>
      </c>
      <c r="J6" s="194">
        <v>22564</v>
      </c>
      <c r="K6" s="195">
        <v>30000</v>
      </c>
      <c r="L6" s="196">
        <v>159552.98000000001</v>
      </c>
      <c r="M6" s="197">
        <f t="shared" si="1"/>
        <v>43159.44</v>
      </c>
      <c r="N6" s="198">
        <v>11248.84</v>
      </c>
      <c r="O6" s="199">
        <f t="shared" si="2"/>
        <v>28719.536400000001</v>
      </c>
      <c r="P6" s="200">
        <v>5481.62</v>
      </c>
      <c r="Q6" s="190">
        <f t="shared" si="3"/>
        <v>329</v>
      </c>
      <c r="R6" s="316" t="s">
        <v>519</v>
      </c>
      <c r="S6" s="252">
        <v>169141.04</v>
      </c>
      <c r="T6" s="184"/>
      <c r="U6" s="184"/>
      <c r="V6" s="184"/>
      <c r="W6" s="184"/>
      <c r="X6" s="184"/>
      <c r="Y6" s="184"/>
      <c r="Z6" s="184"/>
      <c r="AA6" s="184"/>
      <c r="AB6" s="184"/>
      <c r="AC6" s="184"/>
      <c r="AD6" s="184"/>
      <c r="AE6" s="184"/>
      <c r="AF6" s="184"/>
      <c r="AG6" s="184"/>
      <c r="AH6" s="184"/>
      <c r="AI6" s="184"/>
      <c r="AJ6" s="184"/>
      <c r="AK6" s="184"/>
      <c r="AL6" s="184"/>
      <c r="AM6" s="184"/>
      <c r="AN6" s="184"/>
      <c r="AO6" s="184"/>
      <c r="AP6" s="184"/>
      <c r="AQ6" s="184"/>
      <c r="AR6" s="184"/>
      <c r="AS6" s="184"/>
      <c r="AT6" s="184"/>
      <c r="AU6" s="184"/>
      <c r="AV6" s="184"/>
      <c r="AW6" s="184"/>
      <c r="AX6" s="184"/>
      <c r="AY6" s="184"/>
    </row>
    <row r="7" spans="1:51" x14ac:dyDescent="0.25">
      <c r="A7" s="201" t="s">
        <v>278</v>
      </c>
      <c r="B7" s="201" t="s">
        <v>165</v>
      </c>
      <c r="C7" s="248" t="s">
        <v>589</v>
      </c>
      <c r="D7" s="268" t="s">
        <v>256</v>
      </c>
      <c r="E7" s="201" t="s">
        <v>260</v>
      </c>
      <c r="F7" s="202">
        <v>3596.62</v>
      </c>
      <c r="G7" s="202">
        <f t="shared" si="0"/>
        <v>43159.44</v>
      </c>
      <c r="H7" s="193" t="s">
        <v>258</v>
      </c>
      <c r="I7" s="194">
        <v>15000</v>
      </c>
      <c r="J7" s="194">
        <v>14521</v>
      </c>
      <c r="K7" s="195">
        <v>20000</v>
      </c>
      <c r="L7" s="196">
        <v>159552.98000000001</v>
      </c>
      <c r="M7" s="197">
        <f t="shared" si="1"/>
        <v>43159.44</v>
      </c>
      <c r="N7" s="198">
        <v>11248.84</v>
      </c>
      <c r="O7" s="199">
        <f t="shared" si="2"/>
        <v>28719.536400000001</v>
      </c>
      <c r="P7" s="200">
        <v>5481.62</v>
      </c>
      <c r="Q7" s="190">
        <f t="shared" si="3"/>
        <v>329</v>
      </c>
      <c r="R7" s="316" t="s">
        <v>520</v>
      </c>
      <c r="S7" s="252">
        <v>169141.04</v>
      </c>
      <c r="T7" s="184"/>
      <c r="U7" s="184"/>
      <c r="V7" s="184"/>
      <c r="W7" s="184"/>
      <c r="X7" s="184"/>
      <c r="Y7" s="184"/>
      <c r="Z7" s="184"/>
      <c r="AA7" s="184"/>
      <c r="AB7" s="184"/>
      <c r="AC7" s="184"/>
      <c r="AD7" s="184"/>
      <c r="AE7" s="184"/>
      <c r="AF7" s="184"/>
      <c r="AG7" s="184"/>
      <c r="AH7" s="184"/>
      <c r="AI7" s="184"/>
      <c r="AJ7" s="184"/>
      <c r="AK7" s="184"/>
      <c r="AL7" s="184"/>
      <c r="AM7" s="184"/>
      <c r="AN7" s="184"/>
      <c r="AO7" s="184"/>
      <c r="AP7" s="184"/>
      <c r="AQ7" s="184"/>
      <c r="AR7" s="184"/>
      <c r="AS7" s="184"/>
      <c r="AT7" s="184"/>
      <c r="AU7" s="184"/>
      <c r="AV7" s="184"/>
      <c r="AW7" s="184"/>
      <c r="AX7" s="184"/>
      <c r="AY7" s="184"/>
    </row>
    <row r="8" spans="1:51" x14ac:dyDescent="0.25">
      <c r="A8" s="201" t="s">
        <v>355</v>
      </c>
      <c r="B8" s="201" t="s">
        <v>356</v>
      </c>
      <c r="C8" s="248" t="s">
        <v>589</v>
      </c>
      <c r="D8" s="268" t="s">
        <v>256</v>
      </c>
      <c r="E8" s="201" t="s">
        <v>260</v>
      </c>
      <c r="F8" s="202">
        <v>3596.62</v>
      </c>
      <c r="G8" s="202">
        <f t="shared" si="0"/>
        <v>43159.44</v>
      </c>
      <c r="H8" s="193" t="s">
        <v>258</v>
      </c>
      <c r="I8" s="194">
        <v>12000</v>
      </c>
      <c r="J8" s="194">
        <v>9812</v>
      </c>
      <c r="K8" s="195">
        <v>10000</v>
      </c>
      <c r="L8" s="196">
        <v>159552.98000000001</v>
      </c>
      <c r="M8" s="197">
        <f t="shared" si="1"/>
        <v>43159.44</v>
      </c>
      <c r="N8" s="198">
        <v>11248.84</v>
      </c>
      <c r="O8" s="199">
        <f t="shared" si="2"/>
        <v>28719.536400000001</v>
      </c>
      <c r="P8" s="200">
        <v>5481.62</v>
      </c>
      <c r="Q8" s="190">
        <f t="shared" si="3"/>
        <v>329</v>
      </c>
      <c r="R8" s="316" t="s">
        <v>521</v>
      </c>
      <c r="S8" s="252">
        <v>169141.04</v>
      </c>
      <c r="T8" s="184"/>
      <c r="U8" s="184"/>
      <c r="V8" s="184"/>
      <c r="W8" s="184"/>
      <c r="X8" s="184"/>
      <c r="Y8" s="184"/>
      <c r="Z8" s="184"/>
      <c r="AA8" s="184"/>
      <c r="AB8" s="184"/>
      <c r="AC8" s="184"/>
      <c r="AD8" s="184"/>
      <c r="AE8" s="184"/>
      <c r="AF8" s="184"/>
      <c r="AG8" s="184"/>
      <c r="AH8" s="184"/>
      <c r="AI8" s="184"/>
      <c r="AJ8" s="184"/>
      <c r="AK8" s="184"/>
      <c r="AL8" s="184"/>
      <c r="AM8" s="184"/>
      <c r="AN8" s="184"/>
      <c r="AO8" s="184"/>
      <c r="AP8" s="184"/>
      <c r="AQ8" s="184"/>
      <c r="AR8" s="184"/>
      <c r="AS8" s="184"/>
      <c r="AT8" s="184"/>
      <c r="AU8" s="184"/>
      <c r="AV8" s="184"/>
      <c r="AW8" s="184"/>
      <c r="AX8" s="184"/>
      <c r="AY8" s="184"/>
    </row>
    <row r="9" spans="1:51" x14ac:dyDescent="0.25">
      <c r="A9" s="203" t="s">
        <v>268</v>
      </c>
      <c r="B9" s="204" t="s">
        <v>159</v>
      </c>
      <c r="C9" s="251" t="s">
        <v>590</v>
      </c>
      <c r="D9" s="270" t="s">
        <v>92</v>
      </c>
      <c r="E9" s="204" t="s">
        <v>269</v>
      </c>
      <c r="F9" s="205">
        <v>3437.09</v>
      </c>
      <c r="G9" s="205">
        <f t="shared" si="0"/>
        <v>41245.08</v>
      </c>
      <c r="H9" s="193" t="s">
        <v>258</v>
      </c>
      <c r="I9" s="194">
        <v>15000</v>
      </c>
      <c r="J9" s="194">
        <v>18162</v>
      </c>
      <c r="K9" s="195">
        <v>20000</v>
      </c>
      <c r="L9" s="196">
        <v>151632.72</v>
      </c>
      <c r="M9" s="197">
        <f t="shared" si="1"/>
        <v>41245.08</v>
      </c>
      <c r="N9" s="198">
        <v>10918.54</v>
      </c>
      <c r="O9" s="199">
        <f t="shared" si="2"/>
        <v>27293.889600000002</v>
      </c>
      <c r="P9" s="200">
        <v>5481.62</v>
      </c>
      <c r="Q9" s="190">
        <f t="shared" si="3"/>
        <v>329</v>
      </c>
      <c r="R9" s="316" t="s">
        <v>522</v>
      </c>
      <c r="S9" s="252">
        <v>161941.04</v>
      </c>
      <c r="T9" s="184"/>
      <c r="U9" s="184"/>
      <c r="V9" s="184"/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84"/>
      <c r="AI9" s="184"/>
      <c r="AJ9" s="184"/>
      <c r="AK9" s="184"/>
      <c r="AL9" s="184"/>
      <c r="AM9" s="184"/>
      <c r="AN9" s="184"/>
      <c r="AO9" s="184"/>
      <c r="AP9" s="184"/>
      <c r="AQ9" s="184"/>
      <c r="AR9" s="184"/>
      <c r="AS9" s="184"/>
      <c r="AT9" s="184"/>
      <c r="AU9" s="184"/>
      <c r="AV9" s="184"/>
      <c r="AW9" s="184"/>
      <c r="AX9" s="184"/>
      <c r="AY9" s="184"/>
    </row>
    <row r="10" spans="1:51" x14ac:dyDescent="0.25">
      <c r="A10" s="203" t="s">
        <v>271</v>
      </c>
      <c r="B10" s="204" t="s">
        <v>160</v>
      </c>
      <c r="C10" s="251" t="s">
        <v>590</v>
      </c>
      <c r="D10" s="270" t="s">
        <v>92</v>
      </c>
      <c r="E10" s="204" t="s">
        <v>269</v>
      </c>
      <c r="F10" s="205">
        <v>3437.09</v>
      </c>
      <c r="G10" s="205">
        <f t="shared" si="0"/>
        <v>41245.08</v>
      </c>
      <c r="H10" s="193" t="s">
        <v>258</v>
      </c>
      <c r="I10" s="194">
        <v>15000</v>
      </c>
      <c r="J10" s="194">
        <v>26638</v>
      </c>
      <c r="K10" s="195">
        <v>30000</v>
      </c>
      <c r="L10" s="196">
        <v>151632.72</v>
      </c>
      <c r="M10" s="197">
        <f t="shared" si="1"/>
        <v>41245.08</v>
      </c>
      <c r="N10" s="198">
        <v>10918.54</v>
      </c>
      <c r="O10" s="199">
        <f t="shared" si="2"/>
        <v>27293.889600000002</v>
      </c>
      <c r="P10" s="200">
        <v>5481.62</v>
      </c>
      <c r="Q10" s="190">
        <f t="shared" si="3"/>
        <v>329</v>
      </c>
      <c r="R10" s="316" t="s">
        <v>523</v>
      </c>
      <c r="S10" s="252">
        <v>161941.04</v>
      </c>
      <c r="T10" s="184"/>
      <c r="U10" s="184"/>
      <c r="V10" s="184"/>
      <c r="W10" s="184"/>
      <c r="X10" s="184"/>
      <c r="Y10" s="184"/>
      <c r="Z10" s="184"/>
      <c r="AA10" s="184"/>
      <c r="AB10" s="184"/>
      <c r="AC10" s="184"/>
      <c r="AD10" s="184"/>
      <c r="AE10" s="184"/>
      <c r="AF10" s="184"/>
      <c r="AG10" s="184"/>
      <c r="AH10" s="184"/>
      <c r="AI10" s="184"/>
      <c r="AJ10" s="184"/>
      <c r="AK10" s="184"/>
      <c r="AL10" s="184"/>
      <c r="AM10" s="184"/>
      <c r="AN10" s="184"/>
      <c r="AO10" s="184"/>
      <c r="AP10" s="184"/>
      <c r="AQ10" s="184"/>
      <c r="AR10" s="184"/>
      <c r="AS10" s="184"/>
      <c r="AT10" s="184"/>
      <c r="AU10" s="184"/>
      <c r="AV10" s="184"/>
      <c r="AW10" s="184"/>
      <c r="AX10" s="184"/>
      <c r="AY10" s="184"/>
    </row>
    <row r="11" spans="1:51" x14ac:dyDescent="0.25">
      <c r="A11" s="203" t="s">
        <v>272</v>
      </c>
      <c r="B11" s="204" t="s">
        <v>161</v>
      </c>
      <c r="C11" s="251" t="s">
        <v>595</v>
      </c>
      <c r="D11" s="270" t="s">
        <v>94</v>
      </c>
      <c r="E11" s="204" t="s">
        <v>269</v>
      </c>
      <c r="F11" s="205">
        <v>3437.09</v>
      </c>
      <c r="G11" s="205">
        <f t="shared" si="0"/>
        <v>41245.08</v>
      </c>
      <c r="H11" s="193" t="s">
        <v>258</v>
      </c>
      <c r="I11" s="194">
        <v>15000</v>
      </c>
      <c r="J11" s="194">
        <v>28293</v>
      </c>
      <c r="K11" s="195">
        <v>30000</v>
      </c>
      <c r="L11" s="196">
        <v>151632.72</v>
      </c>
      <c r="M11" s="197">
        <f t="shared" si="1"/>
        <v>41245.08</v>
      </c>
      <c r="N11" s="198">
        <v>10918.54</v>
      </c>
      <c r="O11" s="199">
        <f t="shared" si="2"/>
        <v>27293.889600000002</v>
      </c>
      <c r="P11" s="200">
        <v>5481.62</v>
      </c>
      <c r="Q11" s="190">
        <f t="shared" si="3"/>
        <v>329</v>
      </c>
      <c r="R11" s="316" t="s">
        <v>552</v>
      </c>
      <c r="S11" s="252">
        <v>161941.04</v>
      </c>
      <c r="T11" s="184"/>
      <c r="U11" s="184"/>
      <c r="V11" s="184"/>
      <c r="W11" s="184"/>
      <c r="X11" s="184"/>
      <c r="Y11" s="184"/>
      <c r="Z11" s="184"/>
      <c r="AA11" s="184"/>
      <c r="AB11" s="184"/>
      <c r="AC11" s="184"/>
      <c r="AD11" s="184"/>
      <c r="AE11" s="184"/>
      <c r="AF11" s="184"/>
      <c r="AG11" s="184"/>
      <c r="AH11" s="184"/>
      <c r="AI11" s="184"/>
      <c r="AJ11" s="184"/>
      <c r="AK11" s="184"/>
      <c r="AL11" s="184"/>
      <c r="AM11" s="184"/>
      <c r="AN11" s="184"/>
      <c r="AO11" s="184"/>
      <c r="AP11" s="184"/>
      <c r="AQ11" s="184"/>
      <c r="AR11" s="184"/>
      <c r="AS11" s="184"/>
      <c r="AT11" s="184"/>
      <c r="AU11" s="184"/>
      <c r="AV11" s="184"/>
      <c r="AW11" s="184"/>
      <c r="AX11" s="184"/>
      <c r="AY11" s="184"/>
    </row>
    <row r="12" spans="1:51" x14ac:dyDescent="0.25">
      <c r="A12" s="203" t="s">
        <v>274</v>
      </c>
      <c r="B12" s="204" t="s">
        <v>162</v>
      </c>
      <c r="C12" s="251" t="s">
        <v>1451</v>
      </c>
      <c r="D12" s="269" t="s">
        <v>1452</v>
      </c>
      <c r="E12" s="204" t="s">
        <v>269</v>
      </c>
      <c r="F12" s="205">
        <v>3437.09</v>
      </c>
      <c r="G12" s="205">
        <f t="shared" si="0"/>
        <v>41245.08</v>
      </c>
      <c r="H12" s="193" t="s">
        <v>258</v>
      </c>
      <c r="I12" s="194">
        <v>15000</v>
      </c>
      <c r="J12" s="194">
        <v>24417</v>
      </c>
      <c r="K12" s="195">
        <v>30000</v>
      </c>
      <c r="L12" s="196">
        <v>151632.72</v>
      </c>
      <c r="M12" s="197">
        <f t="shared" si="1"/>
        <v>41245.08</v>
      </c>
      <c r="N12" s="198">
        <v>10918.54</v>
      </c>
      <c r="O12" s="199">
        <f t="shared" si="2"/>
        <v>27293.889600000002</v>
      </c>
      <c r="P12" s="200">
        <v>5481.62</v>
      </c>
      <c r="Q12" s="190">
        <f t="shared" si="3"/>
        <v>329</v>
      </c>
      <c r="R12" s="316" t="s">
        <v>524</v>
      </c>
      <c r="S12" s="252">
        <v>161941.04</v>
      </c>
      <c r="T12" s="184"/>
      <c r="U12" s="184"/>
      <c r="V12" s="184"/>
      <c r="W12" s="184"/>
      <c r="X12" s="184"/>
      <c r="Y12" s="184"/>
      <c r="Z12" s="184"/>
      <c r="AA12" s="184"/>
      <c r="AB12" s="184"/>
      <c r="AC12" s="184"/>
      <c r="AD12" s="184"/>
      <c r="AE12" s="184"/>
      <c r="AF12" s="184"/>
      <c r="AG12" s="184"/>
      <c r="AH12" s="184"/>
      <c r="AI12" s="184"/>
      <c r="AJ12" s="184"/>
      <c r="AK12" s="184"/>
      <c r="AL12" s="184"/>
      <c r="AM12" s="184"/>
      <c r="AN12" s="184"/>
      <c r="AO12" s="184"/>
      <c r="AP12" s="184"/>
      <c r="AQ12" s="184"/>
      <c r="AR12" s="184"/>
      <c r="AS12" s="184"/>
      <c r="AT12" s="184"/>
      <c r="AU12" s="184"/>
      <c r="AV12" s="184"/>
      <c r="AW12" s="184"/>
      <c r="AX12" s="184"/>
      <c r="AY12" s="184"/>
    </row>
    <row r="13" spans="1:51" x14ac:dyDescent="0.25">
      <c r="A13" s="203" t="s">
        <v>276</v>
      </c>
      <c r="B13" s="204" t="s">
        <v>163</v>
      </c>
      <c r="C13" s="251" t="s">
        <v>591</v>
      </c>
      <c r="D13" s="270" t="s">
        <v>93</v>
      </c>
      <c r="E13" s="204" t="s">
        <v>269</v>
      </c>
      <c r="F13" s="205">
        <v>3437.09</v>
      </c>
      <c r="G13" s="205">
        <f t="shared" si="0"/>
        <v>41245.08</v>
      </c>
      <c r="H13" s="193" t="s">
        <v>258</v>
      </c>
      <c r="I13" s="194">
        <v>15000</v>
      </c>
      <c r="J13" s="194">
        <v>65841</v>
      </c>
      <c r="K13" s="195">
        <v>70000</v>
      </c>
      <c r="L13" s="196">
        <v>151632.72</v>
      </c>
      <c r="M13" s="197">
        <f t="shared" si="1"/>
        <v>41245.08</v>
      </c>
      <c r="N13" s="198">
        <v>10918.54</v>
      </c>
      <c r="O13" s="199">
        <f t="shared" si="2"/>
        <v>27293.889600000002</v>
      </c>
      <c r="P13" s="200">
        <v>5481.62</v>
      </c>
      <c r="Q13" s="190">
        <f t="shared" si="3"/>
        <v>329</v>
      </c>
      <c r="R13" s="316" t="s">
        <v>525</v>
      </c>
      <c r="S13" s="252">
        <v>161941.04</v>
      </c>
      <c r="T13" s="184"/>
      <c r="U13" s="184"/>
      <c r="V13" s="184"/>
      <c r="W13" s="184"/>
      <c r="X13" s="184"/>
      <c r="Y13" s="184"/>
      <c r="Z13" s="184"/>
      <c r="AA13" s="184"/>
      <c r="AB13" s="184"/>
      <c r="AC13" s="184"/>
      <c r="AD13" s="184"/>
      <c r="AE13" s="184"/>
      <c r="AF13" s="184"/>
      <c r="AG13" s="184"/>
      <c r="AH13" s="184"/>
      <c r="AI13" s="184"/>
      <c r="AJ13" s="184"/>
      <c r="AK13" s="184"/>
      <c r="AL13" s="184"/>
      <c r="AM13" s="184"/>
      <c r="AN13" s="184"/>
      <c r="AO13" s="184"/>
      <c r="AP13" s="184"/>
      <c r="AQ13" s="184"/>
      <c r="AR13" s="184"/>
      <c r="AS13" s="184"/>
      <c r="AT13" s="184"/>
      <c r="AU13" s="184"/>
      <c r="AV13" s="184"/>
      <c r="AW13" s="184"/>
      <c r="AX13" s="184"/>
      <c r="AY13" s="184"/>
    </row>
    <row r="14" spans="1:51" x14ac:dyDescent="0.25">
      <c r="A14" s="203" t="s">
        <v>277</v>
      </c>
      <c r="B14" s="204" t="s">
        <v>164</v>
      </c>
      <c r="C14" s="251" t="s">
        <v>586</v>
      </c>
      <c r="D14" s="270" t="s">
        <v>86</v>
      </c>
      <c r="E14" s="204" t="s">
        <v>269</v>
      </c>
      <c r="F14" s="205">
        <v>3437.09</v>
      </c>
      <c r="G14" s="205">
        <f t="shared" si="0"/>
        <v>41245.08</v>
      </c>
      <c r="H14" s="193" t="s">
        <v>258</v>
      </c>
      <c r="I14" s="194">
        <v>30000</v>
      </c>
      <c r="J14" s="194">
        <v>35305</v>
      </c>
      <c r="K14" s="195">
        <v>40000</v>
      </c>
      <c r="L14" s="196">
        <v>151632.72</v>
      </c>
      <c r="M14" s="197">
        <f t="shared" si="1"/>
        <v>41245.08</v>
      </c>
      <c r="N14" s="198">
        <v>10918.54</v>
      </c>
      <c r="O14" s="199">
        <f t="shared" si="2"/>
        <v>27293.889600000002</v>
      </c>
      <c r="P14" s="200">
        <v>5481.62</v>
      </c>
      <c r="Q14" s="190">
        <f t="shared" si="3"/>
        <v>329</v>
      </c>
      <c r="R14" s="316" t="s">
        <v>526</v>
      </c>
      <c r="S14" s="252">
        <v>161941.04</v>
      </c>
      <c r="T14" s="184"/>
      <c r="U14" s="184"/>
      <c r="V14" s="184"/>
      <c r="W14" s="184"/>
      <c r="X14" s="184"/>
      <c r="Y14" s="184"/>
      <c r="Z14" s="184"/>
      <c r="AA14" s="184"/>
      <c r="AB14" s="184"/>
      <c r="AC14" s="184"/>
      <c r="AD14" s="184"/>
      <c r="AE14" s="184"/>
      <c r="AF14" s="184"/>
      <c r="AG14" s="184"/>
      <c r="AH14" s="184"/>
      <c r="AI14" s="184"/>
      <c r="AJ14" s="184"/>
      <c r="AK14" s="184"/>
      <c r="AL14" s="184"/>
      <c r="AM14" s="184"/>
      <c r="AN14" s="184"/>
      <c r="AO14" s="184"/>
      <c r="AP14" s="184"/>
      <c r="AQ14" s="184"/>
      <c r="AR14" s="184"/>
      <c r="AS14" s="184"/>
      <c r="AT14" s="184"/>
      <c r="AU14" s="184"/>
      <c r="AV14" s="184"/>
      <c r="AW14" s="184"/>
      <c r="AX14" s="184"/>
      <c r="AY14" s="184"/>
    </row>
    <row r="15" spans="1:51" x14ac:dyDescent="0.25">
      <c r="A15" s="203" t="s">
        <v>280</v>
      </c>
      <c r="B15" s="204" t="s">
        <v>167</v>
      </c>
      <c r="C15" s="251" t="s">
        <v>593</v>
      </c>
      <c r="D15" s="270" t="s">
        <v>74</v>
      </c>
      <c r="E15" s="204" t="s">
        <v>269</v>
      </c>
      <c r="F15" s="205">
        <v>3437.09</v>
      </c>
      <c r="G15" s="205">
        <f t="shared" si="0"/>
        <v>41245.08</v>
      </c>
      <c r="H15" s="193" t="s">
        <v>258</v>
      </c>
      <c r="I15" s="194">
        <v>15000</v>
      </c>
      <c r="J15" s="194">
        <v>13109</v>
      </c>
      <c r="K15" s="195">
        <v>15000</v>
      </c>
      <c r="L15" s="196">
        <v>151632.72</v>
      </c>
      <c r="M15" s="197">
        <f t="shared" si="1"/>
        <v>41245.08</v>
      </c>
      <c r="N15" s="198">
        <v>10918.54</v>
      </c>
      <c r="O15" s="199">
        <f t="shared" si="2"/>
        <v>27293.889600000002</v>
      </c>
      <c r="P15" s="200">
        <v>5481.62</v>
      </c>
      <c r="Q15" s="190">
        <f t="shared" si="3"/>
        <v>329</v>
      </c>
      <c r="R15" s="316" t="s">
        <v>527</v>
      </c>
      <c r="S15" s="252">
        <v>161941.04</v>
      </c>
      <c r="T15" s="184"/>
      <c r="U15" s="184"/>
      <c r="V15" s="184"/>
      <c r="W15" s="184"/>
      <c r="X15" s="184"/>
      <c r="Y15" s="184"/>
      <c r="Z15" s="184"/>
      <c r="AA15" s="184"/>
      <c r="AB15" s="184"/>
      <c r="AC15" s="184"/>
      <c r="AD15" s="184"/>
      <c r="AE15" s="184"/>
      <c r="AF15" s="184"/>
      <c r="AG15" s="184"/>
      <c r="AH15" s="184"/>
      <c r="AI15" s="184"/>
      <c r="AJ15" s="184"/>
      <c r="AK15" s="184"/>
      <c r="AL15" s="184"/>
      <c r="AM15" s="184"/>
      <c r="AN15" s="184"/>
      <c r="AO15" s="184"/>
      <c r="AP15" s="184"/>
      <c r="AQ15" s="184"/>
      <c r="AR15" s="184"/>
      <c r="AS15" s="184"/>
      <c r="AT15" s="184"/>
      <c r="AU15" s="184"/>
      <c r="AV15" s="184"/>
      <c r="AW15" s="184"/>
      <c r="AX15" s="184"/>
      <c r="AY15" s="184"/>
    </row>
    <row r="16" spans="1:51" x14ac:dyDescent="0.25">
      <c r="A16" s="203" t="s">
        <v>338</v>
      </c>
      <c r="B16" s="204" t="s">
        <v>339</v>
      </c>
      <c r="C16" s="251" t="s">
        <v>590</v>
      </c>
      <c r="D16" s="269" t="s">
        <v>92</v>
      </c>
      <c r="E16" s="204" t="s">
        <v>269</v>
      </c>
      <c r="F16" s="205">
        <v>3437.09</v>
      </c>
      <c r="G16" s="205">
        <f t="shared" si="0"/>
        <v>41245.08</v>
      </c>
      <c r="H16" s="193" t="s">
        <v>258</v>
      </c>
      <c r="I16" s="194">
        <v>230000</v>
      </c>
      <c r="J16" s="194">
        <v>5760</v>
      </c>
      <c r="K16" s="195">
        <v>10000</v>
      </c>
      <c r="L16" s="196">
        <v>151632.72</v>
      </c>
      <c r="M16" s="197">
        <f t="shared" si="1"/>
        <v>41245.08</v>
      </c>
      <c r="N16" s="198">
        <v>10918.54</v>
      </c>
      <c r="O16" s="199">
        <f t="shared" si="2"/>
        <v>27293.889600000002</v>
      </c>
      <c r="P16" s="200">
        <v>5481.62</v>
      </c>
      <c r="Q16" s="190">
        <f t="shared" si="3"/>
        <v>329</v>
      </c>
      <c r="R16" s="316" t="s">
        <v>528</v>
      </c>
      <c r="S16" s="252">
        <v>161941.04</v>
      </c>
      <c r="T16" s="184"/>
      <c r="U16" s="184"/>
      <c r="V16" s="184"/>
      <c r="W16" s="184"/>
      <c r="X16" s="184"/>
      <c r="Y16" s="184"/>
      <c r="Z16" s="184"/>
      <c r="AA16" s="184"/>
      <c r="AB16" s="184"/>
      <c r="AC16" s="184"/>
      <c r="AD16" s="184"/>
      <c r="AE16" s="184"/>
      <c r="AF16" s="184"/>
      <c r="AG16" s="184"/>
      <c r="AH16" s="184"/>
      <c r="AI16" s="184"/>
      <c r="AJ16" s="184"/>
      <c r="AK16" s="184"/>
      <c r="AL16" s="184"/>
      <c r="AM16" s="184"/>
      <c r="AN16" s="184"/>
      <c r="AO16" s="184"/>
      <c r="AP16" s="184"/>
      <c r="AQ16" s="184"/>
      <c r="AR16" s="184"/>
      <c r="AS16" s="184"/>
      <c r="AT16" s="184"/>
      <c r="AU16" s="184"/>
      <c r="AV16" s="184"/>
      <c r="AW16" s="184"/>
      <c r="AX16" s="184"/>
      <c r="AY16" s="184"/>
    </row>
    <row r="17" spans="1:51" x14ac:dyDescent="0.25">
      <c r="A17" s="203" t="s">
        <v>340</v>
      </c>
      <c r="B17" s="204" t="s">
        <v>341</v>
      </c>
      <c r="C17" s="251" t="s">
        <v>594</v>
      </c>
      <c r="D17" s="269" t="s">
        <v>40</v>
      </c>
      <c r="E17" s="204" t="s">
        <v>269</v>
      </c>
      <c r="F17" s="205">
        <v>3437.09</v>
      </c>
      <c r="G17" s="205">
        <f t="shared" si="0"/>
        <v>41245.08</v>
      </c>
      <c r="H17" s="193" t="s">
        <v>258</v>
      </c>
      <c r="I17" s="194">
        <v>10000</v>
      </c>
      <c r="J17" s="194">
        <v>8219</v>
      </c>
      <c r="K17" s="195">
        <v>10000</v>
      </c>
      <c r="L17" s="196">
        <v>151632.72</v>
      </c>
      <c r="M17" s="197">
        <f t="shared" si="1"/>
        <v>41245.08</v>
      </c>
      <c r="N17" s="198">
        <v>10918.54</v>
      </c>
      <c r="O17" s="199">
        <f t="shared" si="2"/>
        <v>27293.889600000002</v>
      </c>
      <c r="P17" s="200">
        <v>5481.62</v>
      </c>
      <c r="Q17" s="190">
        <f t="shared" si="3"/>
        <v>329</v>
      </c>
      <c r="R17" s="316" t="s">
        <v>529</v>
      </c>
      <c r="S17" s="252">
        <v>161941.04</v>
      </c>
      <c r="T17" s="184"/>
      <c r="U17" s="184"/>
      <c r="V17" s="184"/>
      <c r="W17" s="184"/>
      <c r="X17" s="184"/>
      <c r="Y17" s="184"/>
      <c r="Z17" s="184"/>
      <c r="AA17" s="184"/>
      <c r="AB17" s="184"/>
      <c r="AC17" s="184"/>
      <c r="AD17" s="184"/>
      <c r="AE17" s="184"/>
      <c r="AF17" s="184"/>
      <c r="AG17" s="184"/>
      <c r="AH17" s="184"/>
      <c r="AI17" s="184"/>
      <c r="AJ17" s="184"/>
      <c r="AK17" s="184"/>
      <c r="AL17" s="184"/>
      <c r="AM17" s="184"/>
      <c r="AN17" s="184"/>
      <c r="AO17" s="184"/>
      <c r="AP17" s="184"/>
      <c r="AQ17" s="184"/>
      <c r="AR17" s="184"/>
      <c r="AS17" s="184"/>
      <c r="AT17" s="184"/>
      <c r="AU17" s="184"/>
      <c r="AV17" s="184"/>
      <c r="AW17" s="184"/>
      <c r="AX17" s="184"/>
      <c r="AY17" s="184"/>
    </row>
    <row r="18" spans="1:51" x14ac:dyDescent="0.25">
      <c r="A18" s="203" t="s">
        <v>342</v>
      </c>
      <c r="B18" s="204" t="s">
        <v>343</v>
      </c>
      <c r="C18" s="251" t="s">
        <v>595</v>
      </c>
      <c r="D18" s="270" t="s">
        <v>94</v>
      </c>
      <c r="E18" s="204" t="s">
        <v>269</v>
      </c>
      <c r="F18" s="205">
        <v>3437.09</v>
      </c>
      <c r="G18" s="205">
        <f t="shared" si="0"/>
        <v>41245.08</v>
      </c>
      <c r="H18" s="193" t="s">
        <v>258</v>
      </c>
      <c r="I18" s="194">
        <v>30000</v>
      </c>
      <c r="J18" s="194">
        <v>0</v>
      </c>
      <c r="K18" s="195">
        <v>15000</v>
      </c>
      <c r="L18" s="196">
        <v>151632.72</v>
      </c>
      <c r="M18" s="197">
        <f t="shared" si="1"/>
        <v>41245.08</v>
      </c>
      <c r="N18" s="198">
        <v>10918.54</v>
      </c>
      <c r="O18" s="199">
        <f t="shared" si="2"/>
        <v>27293.889600000002</v>
      </c>
      <c r="P18" s="200">
        <v>5481.62</v>
      </c>
      <c r="Q18" s="190">
        <f t="shared" si="3"/>
        <v>329</v>
      </c>
      <c r="R18" s="316" t="s">
        <v>530</v>
      </c>
      <c r="S18" s="252">
        <v>161941.04</v>
      </c>
      <c r="T18" s="184"/>
      <c r="U18" s="184"/>
      <c r="V18" s="184"/>
      <c r="W18" s="184"/>
      <c r="X18" s="184"/>
      <c r="Y18" s="184"/>
      <c r="Z18" s="184"/>
      <c r="AA18" s="184"/>
      <c r="AB18" s="184"/>
      <c r="AC18" s="184"/>
      <c r="AD18" s="184"/>
      <c r="AE18" s="184"/>
      <c r="AF18" s="184"/>
      <c r="AG18" s="184"/>
      <c r="AH18" s="184"/>
      <c r="AI18" s="184"/>
      <c r="AJ18" s="184"/>
      <c r="AK18" s="184"/>
      <c r="AL18" s="184"/>
      <c r="AM18" s="184"/>
      <c r="AN18" s="184"/>
      <c r="AO18" s="184"/>
      <c r="AP18" s="184"/>
      <c r="AQ18" s="184"/>
      <c r="AR18" s="184"/>
      <c r="AS18" s="184"/>
      <c r="AT18" s="184"/>
      <c r="AU18" s="184"/>
      <c r="AV18" s="184"/>
      <c r="AW18" s="184"/>
      <c r="AX18" s="184"/>
      <c r="AY18" s="184"/>
    </row>
    <row r="19" spans="1:51" x14ac:dyDescent="0.25">
      <c r="A19" s="203" t="s">
        <v>344</v>
      </c>
      <c r="B19" s="204" t="s">
        <v>345</v>
      </c>
      <c r="C19" s="251" t="s">
        <v>595</v>
      </c>
      <c r="D19" s="270" t="s">
        <v>94</v>
      </c>
      <c r="E19" s="204" t="s">
        <v>269</v>
      </c>
      <c r="F19" s="205">
        <v>3437.09</v>
      </c>
      <c r="G19" s="205">
        <f t="shared" si="0"/>
        <v>41245.08</v>
      </c>
      <c r="H19" s="193" t="s">
        <v>258</v>
      </c>
      <c r="I19" s="194">
        <v>10000</v>
      </c>
      <c r="J19" s="194">
        <v>3290</v>
      </c>
      <c r="K19" s="195">
        <v>8000</v>
      </c>
      <c r="L19" s="196">
        <v>151632.72</v>
      </c>
      <c r="M19" s="197">
        <f t="shared" si="1"/>
        <v>41245.08</v>
      </c>
      <c r="N19" s="198">
        <v>10918.54</v>
      </c>
      <c r="O19" s="199">
        <f t="shared" si="2"/>
        <v>27293.889600000002</v>
      </c>
      <c r="P19" s="200">
        <v>5481.62</v>
      </c>
      <c r="Q19" s="190">
        <f t="shared" si="3"/>
        <v>329</v>
      </c>
      <c r="R19" s="316" t="s">
        <v>531</v>
      </c>
      <c r="S19" s="252">
        <v>161941.04</v>
      </c>
      <c r="T19" s="184"/>
      <c r="U19" s="184"/>
      <c r="V19" s="184"/>
      <c r="W19" s="184"/>
      <c r="X19" s="184"/>
      <c r="Y19" s="184"/>
      <c r="Z19" s="184"/>
      <c r="AA19" s="184"/>
      <c r="AB19" s="184"/>
      <c r="AC19" s="184"/>
      <c r="AD19" s="184"/>
      <c r="AE19" s="184"/>
      <c r="AF19" s="184"/>
      <c r="AG19" s="184"/>
      <c r="AH19" s="184"/>
      <c r="AI19" s="184"/>
      <c r="AJ19" s="184"/>
      <c r="AK19" s="184"/>
      <c r="AL19" s="184"/>
      <c r="AM19" s="184"/>
      <c r="AN19" s="184"/>
      <c r="AO19" s="184"/>
      <c r="AP19" s="184"/>
      <c r="AQ19" s="184"/>
      <c r="AR19" s="184"/>
      <c r="AS19" s="184"/>
      <c r="AT19" s="184"/>
      <c r="AU19" s="184"/>
      <c r="AV19" s="184"/>
      <c r="AW19" s="184"/>
      <c r="AX19" s="184"/>
      <c r="AY19" s="184"/>
    </row>
    <row r="20" spans="1:51" x14ac:dyDescent="0.25">
      <c r="A20" s="203" t="s">
        <v>357</v>
      </c>
      <c r="B20" s="204" t="s">
        <v>358</v>
      </c>
      <c r="C20" s="251" t="s">
        <v>596</v>
      </c>
      <c r="D20" s="268" t="s">
        <v>41</v>
      </c>
      <c r="E20" s="204" t="s">
        <v>269</v>
      </c>
      <c r="F20" s="205">
        <v>3437.09</v>
      </c>
      <c r="G20" s="205">
        <f t="shared" si="0"/>
        <v>41245.08</v>
      </c>
      <c r="H20" s="193" t="s">
        <v>258</v>
      </c>
      <c r="I20" s="194">
        <v>25000</v>
      </c>
      <c r="J20" s="194">
        <v>4818</v>
      </c>
      <c r="K20" s="195">
        <v>8000</v>
      </c>
      <c r="L20" s="196">
        <v>151632.72</v>
      </c>
      <c r="M20" s="197">
        <f t="shared" si="1"/>
        <v>41245.08</v>
      </c>
      <c r="N20" s="198">
        <v>10918.54</v>
      </c>
      <c r="O20" s="199">
        <f t="shared" si="2"/>
        <v>27293.889600000002</v>
      </c>
      <c r="P20" s="200">
        <v>5481.62</v>
      </c>
      <c r="Q20" s="190">
        <f t="shared" si="3"/>
        <v>329</v>
      </c>
      <c r="R20" s="316" t="s">
        <v>532</v>
      </c>
      <c r="S20" s="252">
        <v>161941.04</v>
      </c>
      <c r="T20" s="184"/>
      <c r="U20" s="184"/>
      <c r="V20" s="184"/>
      <c r="W20" s="184"/>
      <c r="X20" s="184"/>
      <c r="Y20" s="184"/>
      <c r="Z20" s="184"/>
      <c r="AA20" s="184"/>
      <c r="AB20" s="184"/>
      <c r="AC20" s="184"/>
      <c r="AD20" s="184"/>
      <c r="AE20" s="184"/>
      <c r="AF20" s="184"/>
      <c r="AG20" s="184"/>
      <c r="AH20" s="184"/>
      <c r="AI20" s="184"/>
      <c r="AJ20" s="184"/>
      <c r="AK20" s="184"/>
      <c r="AL20" s="184"/>
      <c r="AM20" s="184"/>
      <c r="AN20" s="184"/>
      <c r="AO20" s="184"/>
      <c r="AP20" s="184"/>
      <c r="AQ20" s="184"/>
      <c r="AR20" s="184"/>
      <c r="AS20" s="184"/>
      <c r="AT20" s="184"/>
      <c r="AU20" s="184"/>
      <c r="AV20" s="184"/>
      <c r="AW20" s="184"/>
      <c r="AX20" s="184"/>
      <c r="AY20" s="184"/>
    </row>
    <row r="21" spans="1:51" x14ac:dyDescent="0.25">
      <c r="A21" s="203" t="s">
        <v>359</v>
      </c>
      <c r="B21" s="204" t="s">
        <v>360</v>
      </c>
      <c r="C21" s="251" t="s">
        <v>594</v>
      </c>
      <c r="D21" s="270" t="s">
        <v>40</v>
      </c>
      <c r="E21" s="204" t="s">
        <v>269</v>
      </c>
      <c r="F21" s="205">
        <v>3437.09</v>
      </c>
      <c r="G21" s="205">
        <f t="shared" si="0"/>
        <v>41245.08</v>
      </c>
      <c r="H21" s="193" t="s">
        <v>258</v>
      </c>
      <c r="I21" s="194">
        <v>15000</v>
      </c>
      <c r="J21" s="194">
        <v>26593</v>
      </c>
      <c r="K21" s="195">
        <v>30000</v>
      </c>
      <c r="L21" s="196">
        <v>151632.72</v>
      </c>
      <c r="M21" s="197">
        <f t="shared" si="1"/>
        <v>41245.08</v>
      </c>
      <c r="N21" s="198">
        <v>10918.54</v>
      </c>
      <c r="O21" s="199">
        <f t="shared" si="2"/>
        <v>27293.889600000002</v>
      </c>
      <c r="P21" s="200">
        <v>5481.62</v>
      </c>
      <c r="Q21" s="190">
        <f t="shared" si="3"/>
        <v>329</v>
      </c>
      <c r="R21" s="316" t="s">
        <v>533</v>
      </c>
      <c r="S21" s="252">
        <v>161941.04</v>
      </c>
      <c r="T21" s="184"/>
      <c r="U21" s="184"/>
      <c r="V21" s="184"/>
      <c r="W21" s="184"/>
      <c r="X21" s="184"/>
      <c r="Y21" s="184"/>
      <c r="Z21" s="184"/>
      <c r="AA21" s="184"/>
      <c r="AB21" s="184"/>
      <c r="AC21" s="184"/>
      <c r="AD21" s="184"/>
      <c r="AE21" s="184"/>
      <c r="AF21" s="184"/>
      <c r="AG21" s="184"/>
      <c r="AH21" s="184"/>
      <c r="AI21" s="184"/>
      <c r="AJ21" s="184"/>
      <c r="AK21" s="184"/>
      <c r="AL21" s="184"/>
      <c r="AM21" s="184"/>
      <c r="AN21" s="184"/>
      <c r="AO21" s="184"/>
      <c r="AP21" s="184"/>
      <c r="AQ21" s="184"/>
      <c r="AR21" s="184"/>
      <c r="AS21" s="184"/>
      <c r="AT21" s="184"/>
      <c r="AU21" s="184"/>
      <c r="AV21" s="184"/>
      <c r="AW21" s="184"/>
      <c r="AX21" s="184"/>
      <c r="AY21" s="184"/>
    </row>
    <row r="22" spans="1:51" x14ac:dyDescent="0.25">
      <c r="A22" s="203" t="s">
        <v>361</v>
      </c>
      <c r="B22" s="204" t="s">
        <v>362</v>
      </c>
      <c r="C22" s="251" t="s">
        <v>590</v>
      </c>
      <c r="D22" s="270" t="s">
        <v>92</v>
      </c>
      <c r="E22" s="204" t="s">
        <v>269</v>
      </c>
      <c r="F22" s="205">
        <v>3437.09</v>
      </c>
      <c r="G22" s="205">
        <f t="shared" si="0"/>
        <v>41245.08</v>
      </c>
      <c r="H22" s="193" t="s">
        <v>258</v>
      </c>
      <c r="I22" s="194">
        <v>15000</v>
      </c>
      <c r="J22" s="194">
        <v>17717</v>
      </c>
      <c r="K22" s="195">
        <v>20000</v>
      </c>
      <c r="L22" s="196">
        <v>151632.72</v>
      </c>
      <c r="M22" s="197">
        <f t="shared" si="1"/>
        <v>41245.08</v>
      </c>
      <c r="N22" s="198">
        <v>10918.54</v>
      </c>
      <c r="O22" s="199">
        <f t="shared" si="2"/>
        <v>27293.889600000002</v>
      </c>
      <c r="P22" s="200">
        <v>5481.62</v>
      </c>
      <c r="Q22" s="190">
        <f t="shared" si="3"/>
        <v>329</v>
      </c>
      <c r="R22" s="316" t="s">
        <v>534</v>
      </c>
      <c r="S22" s="252">
        <v>161941.04</v>
      </c>
      <c r="T22" s="184"/>
      <c r="U22" s="184"/>
      <c r="V22" s="184"/>
      <c r="W22" s="184"/>
      <c r="X22" s="184"/>
      <c r="Y22" s="184"/>
      <c r="Z22" s="184"/>
      <c r="AA22" s="184"/>
      <c r="AB22" s="184"/>
      <c r="AC22" s="184"/>
      <c r="AD22" s="184"/>
      <c r="AE22" s="184"/>
      <c r="AF22" s="184"/>
      <c r="AG22" s="184"/>
      <c r="AH22" s="184"/>
      <c r="AI22" s="184"/>
      <c r="AJ22" s="184"/>
      <c r="AK22" s="184"/>
      <c r="AL22" s="184"/>
      <c r="AM22" s="184"/>
      <c r="AN22" s="184"/>
      <c r="AO22" s="184"/>
      <c r="AP22" s="184"/>
      <c r="AQ22" s="184"/>
      <c r="AR22" s="184"/>
      <c r="AS22" s="184"/>
      <c r="AT22" s="184"/>
      <c r="AU22" s="184"/>
      <c r="AV22" s="184"/>
      <c r="AW22" s="184"/>
      <c r="AX22" s="184"/>
      <c r="AY22" s="184"/>
    </row>
    <row r="23" spans="1:51" x14ac:dyDescent="0.25">
      <c r="A23" s="203" t="s">
        <v>363</v>
      </c>
      <c r="B23" s="204" t="s">
        <v>364</v>
      </c>
      <c r="C23" s="251" t="s">
        <v>590</v>
      </c>
      <c r="D23" s="270" t="s">
        <v>92</v>
      </c>
      <c r="E23" s="204" t="s">
        <v>269</v>
      </c>
      <c r="F23" s="205">
        <v>3437.09</v>
      </c>
      <c r="G23" s="205">
        <f t="shared" si="0"/>
        <v>41245.08</v>
      </c>
      <c r="H23" s="193" t="s">
        <v>258</v>
      </c>
      <c r="I23" s="194">
        <v>36000</v>
      </c>
      <c r="J23" s="194">
        <v>13897</v>
      </c>
      <c r="K23" s="195">
        <v>15000</v>
      </c>
      <c r="L23" s="196">
        <v>151632.72</v>
      </c>
      <c r="M23" s="197">
        <f t="shared" si="1"/>
        <v>41245.08</v>
      </c>
      <c r="N23" s="198">
        <v>10918.54</v>
      </c>
      <c r="O23" s="199">
        <f t="shared" si="2"/>
        <v>27293.889600000002</v>
      </c>
      <c r="P23" s="200">
        <v>5481.62</v>
      </c>
      <c r="Q23" s="190">
        <f t="shared" si="3"/>
        <v>329</v>
      </c>
      <c r="R23" s="316" t="s">
        <v>535</v>
      </c>
      <c r="S23" s="252">
        <v>161941.04</v>
      </c>
      <c r="T23" s="184"/>
      <c r="U23" s="184"/>
      <c r="V23" s="184"/>
      <c r="W23" s="184"/>
      <c r="X23" s="184"/>
      <c r="Y23" s="184"/>
      <c r="Z23" s="184"/>
      <c r="AA23" s="184"/>
      <c r="AB23" s="184"/>
      <c r="AC23" s="184"/>
      <c r="AD23" s="184"/>
      <c r="AE23" s="184"/>
      <c r="AF23" s="184"/>
      <c r="AG23" s="184"/>
      <c r="AH23" s="184"/>
      <c r="AI23" s="184"/>
      <c r="AJ23" s="184"/>
      <c r="AK23" s="184"/>
      <c r="AL23" s="184"/>
      <c r="AM23" s="184"/>
      <c r="AN23" s="184"/>
      <c r="AO23" s="184"/>
      <c r="AP23" s="184"/>
      <c r="AQ23" s="184"/>
      <c r="AR23" s="184"/>
      <c r="AS23" s="184"/>
      <c r="AT23" s="184"/>
      <c r="AU23" s="184"/>
      <c r="AV23" s="184"/>
      <c r="AW23" s="184"/>
      <c r="AX23" s="184"/>
      <c r="AY23" s="184"/>
    </row>
    <row r="24" spans="1:51" x14ac:dyDescent="0.25">
      <c r="A24" s="203" t="s">
        <v>371</v>
      </c>
      <c r="B24" s="204" t="s">
        <v>372</v>
      </c>
      <c r="C24" s="251" t="s">
        <v>590</v>
      </c>
      <c r="D24" s="270" t="s">
        <v>92</v>
      </c>
      <c r="E24" s="204" t="s">
        <v>269</v>
      </c>
      <c r="F24" s="205">
        <v>3437.09</v>
      </c>
      <c r="G24" s="205">
        <f t="shared" si="0"/>
        <v>41245.08</v>
      </c>
      <c r="H24" s="193" t="s">
        <v>258</v>
      </c>
      <c r="I24" s="194">
        <v>20000</v>
      </c>
      <c r="J24" s="194">
        <v>16072</v>
      </c>
      <c r="K24" s="195">
        <v>20000</v>
      </c>
      <c r="L24" s="196">
        <v>151632.72</v>
      </c>
      <c r="M24" s="197">
        <f t="shared" si="1"/>
        <v>41245.08</v>
      </c>
      <c r="N24" s="198">
        <v>10918.54</v>
      </c>
      <c r="O24" s="199">
        <f t="shared" si="2"/>
        <v>27293.889600000002</v>
      </c>
      <c r="P24" s="200">
        <v>5481.62</v>
      </c>
      <c r="Q24" s="190">
        <f t="shared" si="3"/>
        <v>329</v>
      </c>
      <c r="R24" s="316" t="s">
        <v>536</v>
      </c>
      <c r="S24" s="252">
        <v>161941.04</v>
      </c>
      <c r="T24" s="184"/>
      <c r="U24" s="184"/>
      <c r="V24" s="184"/>
      <c r="W24" s="184"/>
      <c r="X24" s="184"/>
      <c r="Y24" s="184"/>
      <c r="Z24" s="184"/>
      <c r="AA24" s="184"/>
      <c r="AB24" s="184"/>
      <c r="AC24" s="184"/>
      <c r="AD24" s="184"/>
      <c r="AE24" s="184"/>
      <c r="AF24" s="184"/>
      <c r="AG24" s="184"/>
      <c r="AH24" s="184"/>
      <c r="AI24" s="184"/>
      <c r="AJ24" s="184"/>
      <c r="AK24" s="184"/>
      <c r="AL24" s="184"/>
      <c r="AM24" s="184"/>
      <c r="AN24" s="184"/>
      <c r="AO24" s="184"/>
      <c r="AP24" s="184"/>
      <c r="AQ24" s="184"/>
      <c r="AR24" s="184"/>
      <c r="AS24" s="184"/>
      <c r="AT24" s="184"/>
      <c r="AU24" s="184"/>
      <c r="AV24" s="184"/>
      <c r="AW24" s="184"/>
      <c r="AX24" s="184"/>
      <c r="AY24" s="184"/>
    </row>
    <row r="25" spans="1:51" x14ac:dyDescent="0.25">
      <c r="A25" s="203" t="s">
        <v>373</v>
      </c>
      <c r="B25" s="204" t="s">
        <v>374</v>
      </c>
      <c r="C25" s="251" t="s">
        <v>581</v>
      </c>
      <c r="D25" s="269" t="s">
        <v>149</v>
      </c>
      <c r="E25" s="204" t="s">
        <v>269</v>
      </c>
      <c r="F25" s="205">
        <v>3437.09</v>
      </c>
      <c r="G25" s="205">
        <f t="shared" si="0"/>
        <v>41245.08</v>
      </c>
      <c r="H25" s="193" t="s">
        <v>258</v>
      </c>
      <c r="I25" s="194">
        <v>20000</v>
      </c>
      <c r="J25" s="194">
        <v>3640</v>
      </c>
      <c r="K25" s="195">
        <v>8000</v>
      </c>
      <c r="L25" s="196">
        <v>151632.72</v>
      </c>
      <c r="M25" s="197">
        <f t="shared" si="1"/>
        <v>41245.08</v>
      </c>
      <c r="N25" s="198">
        <v>10918.54</v>
      </c>
      <c r="O25" s="199">
        <f t="shared" si="2"/>
        <v>27293.889600000002</v>
      </c>
      <c r="P25" s="200">
        <v>5481.62</v>
      </c>
      <c r="Q25" s="190">
        <f t="shared" si="3"/>
        <v>329</v>
      </c>
      <c r="R25" s="316" t="s">
        <v>1495</v>
      </c>
      <c r="S25" s="252">
        <v>161941.04</v>
      </c>
      <c r="T25" s="184"/>
      <c r="U25" s="184"/>
      <c r="V25" s="184"/>
      <c r="W25" s="184"/>
      <c r="X25" s="184"/>
      <c r="Y25" s="184"/>
      <c r="Z25" s="184"/>
      <c r="AA25" s="184"/>
      <c r="AB25" s="184"/>
      <c r="AC25" s="184"/>
      <c r="AD25" s="184"/>
      <c r="AE25" s="184"/>
      <c r="AF25" s="184"/>
      <c r="AG25" s="184"/>
      <c r="AH25" s="184"/>
      <c r="AI25" s="184"/>
      <c r="AJ25" s="184"/>
      <c r="AK25" s="184"/>
      <c r="AL25" s="184"/>
      <c r="AM25" s="184"/>
      <c r="AN25" s="184"/>
      <c r="AO25" s="184"/>
      <c r="AP25" s="184"/>
      <c r="AQ25" s="184"/>
      <c r="AR25" s="184"/>
      <c r="AS25" s="184"/>
      <c r="AT25" s="184"/>
      <c r="AU25" s="184"/>
      <c r="AV25" s="184"/>
      <c r="AW25" s="184"/>
      <c r="AX25" s="184"/>
      <c r="AY25" s="184"/>
    </row>
    <row r="26" spans="1:51" x14ac:dyDescent="0.25">
      <c r="A26" s="203" t="s">
        <v>375</v>
      </c>
      <c r="B26" s="204" t="s">
        <v>376</v>
      </c>
      <c r="C26" s="251" t="s">
        <v>592</v>
      </c>
      <c r="D26" s="270" t="s">
        <v>582</v>
      </c>
      <c r="E26" s="204" t="s">
        <v>269</v>
      </c>
      <c r="F26" s="205">
        <v>3437.09</v>
      </c>
      <c r="G26" s="205">
        <f t="shared" si="0"/>
        <v>41245.08</v>
      </c>
      <c r="H26" s="193" t="s">
        <v>258</v>
      </c>
      <c r="I26" s="194">
        <v>20000</v>
      </c>
      <c r="J26" s="194">
        <v>17750</v>
      </c>
      <c r="K26" s="195">
        <v>20000</v>
      </c>
      <c r="L26" s="196">
        <v>151632.72</v>
      </c>
      <c r="M26" s="197">
        <f t="shared" si="1"/>
        <v>41245.08</v>
      </c>
      <c r="N26" s="198">
        <v>10918.54</v>
      </c>
      <c r="O26" s="199">
        <f t="shared" si="2"/>
        <v>27293.889600000002</v>
      </c>
      <c r="P26" s="200">
        <v>5481.62</v>
      </c>
      <c r="Q26" s="190">
        <f t="shared" si="3"/>
        <v>329</v>
      </c>
      <c r="R26" s="316" t="s">
        <v>537</v>
      </c>
      <c r="S26" s="252">
        <v>161941.04</v>
      </c>
      <c r="T26" s="184"/>
      <c r="U26" s="184"/>
      <c r="V26" s="184"/>
      <c r="W26" s="184"/>
      <c r="X26" s="184"/>
      <c r="Y26" s="184"/>
      <c r="Z26" s="184"/>
      <c r="AA26" s="184"/>
      <c r="AB26" s="184"/>
      <c r="AC26" s="184"/>
      <c r="AD26" s="184"/>
      <c r="AE26" s="184"/>
      <c r="AF26" s="184"/>
      <c r="AG26" s="184"/>
      <c r="AH26" s="184"/>
      <c r="AI26" s="184"/>
      <c r="AJ26" s="184"/>
      <c r="AK26" s="184"/>
      <c r="AL26" s="184"/>
      <c r="AM26" s="184"/>
      <c r="AN26" s="184"/>
      <c r="AO26" s="184"/>
      <c r="AP26" s="184"/>
      <c r="AQ26" s="184"/>
      <c r="AR26" s="184"/>
      <c r="AS26" s="184"/>
      <c r="AT26" s="184"/>
      <c r="AU26" s="184"/>
      <c r="AV26" s="184"/>
      <c r="AW26" s="184"/>
      <c r="AX26" s="184"/>
      <c r="AY26" s="184"/>
    </row>
    <row r="27" spans="1:51" x14ac:dyDescent="0.25">
      <c r="A27" s="203" t="s">
        <v>377</v>
      </c>
      <c r="B27" s="204" t="s">
        <v>378</v>
      </c>
      <c r="C27" s="251" t="s">
        <v>593</v>
      </c>
      <c r="D27" s="270" t="s">
        <v>74</v>
      </c>
      <c r="E27" s="204" t="s">
        <v>269</v>
      </c>
      <c r="F27" s="205">
        <v>3437.09</v>
      </c>
      <c r="G27" s="205">
        <f t="shared" si="0"/>
        <v>41245.08</v>
      </c>
      <c r="H27" s="193" t="s">
        <v>258</v>
      </c>
      <c r="I27" s="194">
        <v>30000</v>
      </c>
      <c r="J27" s="194">
        <v>20481</v>
      </c>
      <c r="K27" s="195">
        <v>30000</v>
      </c>
      <c r="L27" s="196">
        <v>151632.72</v>
      </c>
      <c r="M27" s="197">
        <f t="shared" si="1"/>
        <v>41245.08</v>
      </c>
      <c r="N27" s="198">
        <v>10918.54</v>
      </c>
      <c r="O27" s="199">
        <f t="shared" si="2"/>
        <v>27293.889600000002</v>
      </c>
      <c r="P27" s="200">
        <v>5481.62</v>
      </c>
      <c r="Q27" s="190">
        <f t="shared" si="3"/>
        <v>329</v>
      </c>
      <c r="R27" s="316" t="s">
        <v>538</v>
      </c>
      <c r="S27" s="252">
        <v>161941.04</v>
      </c>
      <c r="T27" s="184"/>
      <c r="U27" s="184"/>
      <c r="V27" s="184"/>
      <c r="W27" s="184"/>
      <c r="X27" s="184"/>
      <c r="Y27" s="184"/>
      <c r="Z27" s="184"/>
      <c r="AA27" s="184"/>
      <c r="AB27" s="184"/>
      <c r="AC27" s="184"/>
      <c r="AD27" s="184"/>
      <c r="AE27" s="184"/>
      <c r="AF27" s="184"/>
      <c r="AG27" s="184"/>
      <c r="AH27" s="184"/>
      <c r="AI27" s="184"/>
      <c r="AJ27" s="184"/>
      <c r="AK27" s="184"/>
      <c r="AL27" s="184"/>
      <c r="AM27" s="184"/>
      <c r="AN27" s="184"/>
      <c r="AO27" s="184"/>
      <c r="AP27" s="184"/>
      <c r="AQ27" s="184"/>
      <c r="AR27" s="184"/>
      <c r="AS27" s="184"/>
      <c r="AT27" s="184"/>
      <c r="AU27" s="184"/>
      <c r="AV27" s="184"/>
      <c r="AW27" s="184"/>
      <c r="AX27" s="184"/>
      <c r="AY27" s="184"/>
    </row>
    <row r="28" spans="1:51" x14ac:dyDescent="0.25">
      <c r="A28" s="203" t="s">
        <v>379</v>
      </c>
      <c r="B28" s="204" t="s">
        <v>380</v>
      </c>
      <c r="C28" s="251" t="s">
        <v>584</v>
      </c>
      <c r="D28" s="270" t="s">
        <v>87</v>
      </c>
      <c r="E28" s="204" t="s">
        <v>269</v>
      </c>
      <c r="F28" s="205">
        <v>3437.09</v>
      </c>
      <c r="G28" s="205">
        <f t="shared" si="0"/>
        <v>41245.08</v>
      </c>
      <c r="H28" s="193" t="s">
        <v>258</v>
      </c>
      <c r="I28" s="194">
        <v>20000</v>
      </c>
      <c r="J28" s="194">
        <v>18853</v>
      </c>
      <c r="K28" s="195">
        <v>20000</v>
      </c>
      <c r="L28" s="196">
        <v>151632.72</v>
      </c>
      <c r="M28" s="197">
        <f t="shared" si="1"/>
        <v>41245.08</v>
      </c>
      <c r="N28" s="198">
        <v>10918.54</v>
      </c>
      <c r="O28" s="199">
        <f t="shared" si="2"/>
        <v>27293.889600000002</v>
      </c>
      <c r="P28" s="200">
        <v>5481.62</v>
      </c>
      <c r="Q28" s="190">
        <f t="shared" si="3"/>
        <v>329</v>
      </c>
      <c r="R28" s="316" t="s">
        <v>539</v>
      </c>
      <c r="S28" s="252">
        <v>161941.04</v>
      </c>
      <c r="T28" s="184"/>
      <c r="U28" s="184"/>
      <c r="V28" s="184"/>
      <c r="W28" s="184"/>
      <c r="X28" s="184"/>
      <c r="Y28" s="184"/>
      <c r="Z28" s="184"/>
      <c r="AA28" s="184"/>
      <c r="AB28" s="184"/>
      <c r="AC28" s="184"/>
      <c r="AD28" s="184"/>
      <c r="AE28" s="184"/>
      <c r="AF28" s="184"/>
      <c r="AG28" s="184"/>
      <c r="AH28" s="184"/>
      <c r="AI28" s="184"/>
      <c r="AJ28" s="184"/>
      <c r="AK28" s="184"/>
      <c r="AL28" s="184"/>
      <c r="AM28" s="184"/>
      <c r="AN28" s="184"/>
      <c r="AO28" s="184"/>
      <c r="AP28" s="184"/>
      <c r="AQ28" s="184"/>
      <c r="AR28" s="184"/>
      <c r="AS28" s="184"/>
      <c r="AT28" s="184"/>
      <c r="AU28" s="184"/>
      <c r="AV28" s="184"/>
      <c r="AW28" s="184"/>
      <c r="AX28" s="184"/>
      <c r="AY28" s="184"/>
    </row>
    <row r="29" spans="1:51" x14ac:dyDescent="0.25">
      <c r="A29" s="206" t="s">
        <v>282</v>
      </c>
      <c r="B29" s="206" t="s">
        <v>169</v>
      </c>
      <c r="C29" s="248" t="s">
        <v>597</v>
      </c>
      <c r="D29" s="270" t="s">
        <v>582</v>
      </c>
      <c r="E29" s="206" t="s">
        <v>284</v>
      </c>
      <c r="F29" s="207">
        <v>5418.79</v>
      </c>
      <c r="G29" s="207">
        <f>+F29*12</f>
        <v>65025.479999999996</v>
      </c>
      <c r="H29" s="193" t="s">
        <v>267</v>
      </c>
      <c r="I29" s="194">
        <v>40000</v>
      </c>
      <c r="J29" s="194">
        <v>37204</v>
      </c>
      <c r="K29" s="195">
        <v>40000</v>
      </c>
      <c r="L29" s="196">
        <v>248070.79</v>
      </c>
      <c r="M29" s="197">
        <f>+F29*12</f>
        <v>65025.479999999996</v>
      </c>
      <c r="N29" s="198">
        <v>15411.32</v>
      </c>
      <c r="O29" s="199">
        <f>+L29*0.9/5</f>
        <v>44652.742200000001</v>
      </c>
      <c r="P29" s="200">
        <v>5481.62</v>
      </c>
      <c r="Q29" s="190">
        <f t="shared" ref="Q29:Q49" si="4">347+36</f>
        <v>383</v>
      </c>
      <c r="R29" s="313" t="s">
        <v>495</v>
      </c>
      <c r="S29" s="252">
        <v>251271.34</v>
      </c>
      <c r="T29" s="184"/>
      <c r="U29" s="184"/>
      <c r="V29" s="184"/>
      <c r="W29" s="184"/>
      <c r="X29" s="184"/>
      <c r="Y29" s="184"/>
      <c r="Z29" s="184"/>
      <c r="AA29" s="184"/>
      <c r="AB29" s="184"/>
      <c r="AC29" s="184"/>
      <c r="AD29" s="184"/>
      <c r="AE29" s="184"/>
      <c r="AF29" s="184"/>
      <c r="AG29" s="184"/>
      <c r="AH29" s="184"/>
      <c r="AI29" s="184"/>
      <c r="AJ29" s="184"/>
      <c r="AK29" s="184"/>
      <c r="AL29" s="184"/>
      <c r="AM29" s="184"/>
      <c r="AN29" s="184"/>
      <c r="AO29" s="184"/>
      <c r="AP29" s="184"/>
      <c r="AQ29" s="184"/>
      <c r="AR29" s="184"/>
      <c r="AS29" s="184"/>
      <c r="AT29" s="184"/>
      <c r="AU29" s="184"/>
      <c r="AV29" s="184"/>
      <c r="AW29" s="184"/>
      <c r="AX29" s="184"/>
      <c r="AY29" s="184"/>
    </row>
    <row r="30" spans="1:51" x14ac:dyDescent="0.25">
      <c r="A30" s="206" t="s">
        <v>213</v>
      </c>
      <c r="B30" s="206" t="s">
        <v>170</v>
      </c>
      <c r="C30" s="248" t="s">
        <v>597</v>
      </c>
      <c r="D30" s="270" t="s">
        <v>582</v>
      </c>
      <c r="E30" s="206" t="s">
        <v>284</v>
      </c>
      <c r="F30" s="207">
        <v>5418.79</v>
      </c>
      <c r="G30" s="207">
        <f>+F30*12</f>
        <v>65025.479999999996</v>
      </c>
      <c r="H30" s="193" t="s">
        <v>267</v>
      </c>
      <c r="I30" s="194">
        <v>15000</v>
      </c>
      <c r="J30" s="194">
        <v>36254</v>
      </c>
      <c r="K30" s="195">
        <v>40000</v>
      </c>
      <c r="L30" s="196">
        <v>248070.79</v>
      </c>
      <c r="M30" s="197">
        <f>+F30*12</f>
        <v>65025.479999999996</v>
      </c>
      <c r="N30" s="198">
        <v>15411.32</v>
      </c>
      <c r="O30" s="199">
        <f>+L30*0.9/5</f>
        <v>44652.742200000001</v>
      </c>
      <c r="P30" s="200">
        <v>5481.62</v>
      </c>
      <c r="Q30" s="190">
        <f t="shared" si="4"/>
        <v>383</v>
      </c>
      <c r="R30" s="313" t="s">
        <v>496</v>
      </c>
      <c r="S30" s="252">
        <v>251271.34</v>
      </c>
      <c r="T30" s="184"/>
      <c r="U30" s="184"/>
      <c r="V30" s="184"/>
      <c r="W30" s="184"/>
      <c r="X30" s="184"/>
      <c r="Y30" s="184"/>
      <c r="Z30" s="184"/>
      <c r="AA30" s="184"/>
      <c r="AB30" s="184"/>
      <c r="AC30" s="184"/>
      <c r="AD30" s="184"/>
      <c r="AE30" s="184"/>
      <c r="AF30" s="184"/>
      <c r="AG30" s="184"/>
      <c r="AH30" s="184"/>
      <c r="AI30" s="184"/>
      <c r="AJ30" s="184"/>
      <c r="AK30" s="184"/>
      <c r="AL30" s="184"/>
      <c r="AM30" s="184"/>
      <c r="AN30" s="184"/>
      <c r="AO30" s="184"/>
      <c r="AP30" s="184"/>
      <c r="AQ30" s="184"/>
      <c r="AR30" s="184"/>
      <c r="AS30" s="184"/>
      <c r="AT30" s="184"/>
      <c r="AU30" s="184"/>
      <c r="AV30" s="184"/>
      <c r="AW30" s="184"/>
      <c r="AX30" s="184"/>
      <c r="AY30" s="184"/>
    </row>
    <row r="31" spans="1:51" x14ac:dyDescent="0.25">
      <c r="A31" s="206" t="s">
        <v>214</v>
      </c>
      <c r="B31" s="206" t="s">
        <v>171</v>
      </c>
      <c r="C31" s="248" t="s">
        <v>597</v>
      </c>
      <c r="D31" s="270" t="s">
        <v>283</v>
      </c>
      <c r="E31" s="206" t="s">
        <v>284</v>
      </c>
      <c r="F31" s="207">
        <v>5418.79</v>
      </c>
      <c r="G31" s="207">
        <f>+F31*12</f>
        <v>65025.479999999996</v>
      </c>
      <c r="H31" s="193" t="s">
        <v>267</v>
      </c>
      <c r="I31" s="194">
        <v>50000</v>
      </c>
      <c r="J31" s="194">
        <v>12952</v>
      </c>
      <c r="K31" s="195">
        <v>15000</v>
      </c>
      <c r="L31" s="196">
        <v>248070.79</v>
      </c>
      <c r="M31" s="197">
        <f>+F31*12</f>
        <v>65025.479999999996</v>
      </c>
      <c r="N31" s="198">
        <v>15411.32</v>
      </c>
      <c r="O31" s="199">
        <f>+L31*0.9/5</f>
        <v>44652.742200000001</v>
      </c>
      <c r="P31" s="200">
        <v>5481.62</v>
      </c>
      <c r="Q31" s="190">
        <f t="shared" si="4"/>
        <v>383</v>
      </c>
      <c r="R31" s="313" t="s">
        <v>497</v>
      </c>
      <c r="S31" s="252">
        <v>251271.34</v>
      </c>
      <c r="T31" s="184"/>
      <c r="U31" s="184"/>
      <c r="V31" s="184"/>
      <c r="W31" s="184"/>
      <c r="X31" s="184"/>
      <c r="Y31" s="184"/>
      <c r="Z31" s="184"/>
      <c r="AA31" s="184"/>
      <c r="AB31" s="184"/>
      <c r="AC31" s="184"/>
      <c r="AD31" s="184"/>
      <c r="AE31" s="184"/>
      <c r="AF31" s="184"/>
      <c r="AG31" s="184"/>
      <c r="AH31" s="184"/>
      <c r="AI31" s="184"/>
      <c r="AJ31" s="184"/>
      <c r="AK31" s="184"/>
      <c r="AL31" s="184"/>
      <c r="AM31" s="184"/>
      <c r="AN31" s="184"/>
      <c r="AO31" s="184"/>
      <c r="AP31" s="184"/>
      <c r="AQ31" s="184"/>
      <c r="AR31" s="184"/>
      <c r="AS31" s="184"/>
      <c r="AT31" s="184"/>
      <c r="AU31" s="184"/>
      <c r="AV31" s="184"/>
      <c r="AW31" s="184"/>
      <c r="AX31" s="184"/>
      <c r="AY31" s="184"/>
    </row>
    <row r="32" spans="1:51" x14ac:dyDescent="0.25">
      <c r="A32" s="206" t="s">
        <v>215</v>
      </c>
      <c r="B32" s="206" t="s">
        <v>172</v>
      </c>
      <c r="C32" s="248" t="s">
        <v>597</v>
      </c>
      <c r="D32" s="270" t="s">
        <v>283</v>
      </c>
      <c r="E32" s="206" t="s">
        <v>284</v>
      </c>
      <c r="F32" s="207">
        <v>5418.79</v>
      </c>
      <c r="G32" s="207">
        <f>+F32*12</f>
        <v>65025.479999999996</v>
      </c>
      <c r="H32" s="193" t="s">
        <v>267</v>
      </c>
      <c r="I32" s="194">
        <v>40000</v>
      </c>
      <c r="J32" s="194">
        <v>42827</v>
      </c>
      <c r="K32" s="195">
        <v>50000</v>
      </c>
      <c r="L32" s="196">
        <v>248070.79</v>
      </c>
      <c r="M32" s="197">
        <f>+F32*12</f>
        <v>65025.479999999996</v>
      </c>
      <c r="N32" s="198">
        <v>15411.32</v>
      </c>
      <c r="O32" s="199">
        <f>+L32*0.9/5</f>
        <v>44652.742200000001</v>
      </c>
      <c r="P32" s="200">
        <v>5481.62</v>
      </c>
      <c r="Q32" s="190">
        <f t="shared" si="4"/>
        <v>383</v>
      </c>
      <c r="R32" s="313" t="s">
        <v>498</v>
      </c>
      <c r="S32" s="252">
        <v>251271.34</v>
      </c>
      <c r="T32" s="184"/>
      <c r="U32" s="184"/>
      <c r="V32" s="184"/>
      <c r="W32" s="184"/>
      <c r="X32" s="184"/>
      <c r="Y32" s="184"/>
      <c r="Z32" s="184"/>
      <c r="AA32" s="184"/>
      <c r="AB32" s="184"/>
      <c r="AC32" s="184"/>
      <c r="AD32" s="184"/>
      <c r="AE32" s="184"/>
      <c r="AF32" s="184"/>
      <c r="AG32" s="184"/>
      <c r="AH32" s="184"/>
      <c r="AI32" s="184"/>
      <c r="AJ32" s="184"/>
      <c r="AK32" s="184"/>
      <c r="AL32" s="184"/>
      <c r="AM32" s="184"/>
      <c r="AN32" s="184"/>
      <c r="AO32" s="184"/>
      <c r="AP32" s="184"/>
      <c r="AQ32" s="184"/>
      <c r="AR32" s="184"/>
      <c r="AS32" s="184"/>
      <c r="AT32" s="184"/>
      <c r="AU32" s="184"/>
      <c r="AV32" s="184"/>
      <c r="AW32" s="184"/>
      <c r="AX32" s="184"/>
      <c r="AY32" s="184"/>
    </row>
    <row r="33" spans="1:51" x14ac:dyDescent="0.25">
      <c r="A33" s="206" t="s">
        <v>216</v>
      </c>
      <c r="B33" s="206" t="s">
        <v>173</v>
      </c>
      <c r="C33" s="248" t="s">
        <v>597</v>
      </c>
      <c r="D33" s="270" t="s">
        <v>582</v>
      </c>
      <c r="E33" s="206" t="s">
        <v>284</v>
      </c>
      <c r="F33" s="207">
        <v>5418.79</v>
      </c>
      <c r="G33" s="207">
        <f>+F33*12</f>
        <v>65025.479999999996</v>
      </c>
      <c r="H33" s="193" t="s">
        <v>267</v>
      </c>
      <c r="I33" s="194">
        <v>20000</v>
      </c>
      <c r="J33" s="194">
        <v>35805</v>
      </c>
      <c r="K33" s="195">
        <v>40000</v>
      </c>
      <c r="L33" s="196">
        <v>248070.79</v>
      </c>
      <c r="M33" s="197">
        <f>+F33*12</f>
        <v>65025.479999999996</v>
      </c>
      <c r="N33" s="198">
        <v>15411.32</v>
      </c>
      <c r="O33" s="199">
        <f>+L33*0.9/5</f>
        <v>44652.742200000001</v>
      </c>
      <c r="P33" s="200">
        <v>5481.62</v>
      </c>
      <c r="Q33" s="190">
        <f t="shared" si="4"/>
        <v>383</v>
      </c>
      <c r="R33" s="313" t="s">
        <v>499</v>
      </c>
      <c r="S33" s="252">
        <v>251271.34</v>
      </c>
      <c r="T33" s="184"/>
      <c r="U33" s="184"/>
      <c r="V33" s="184"/>
      <c r="W33" s="184"/>
      <c r="X33" s="184"/>
      <c r="Y33" s="184"/>
      <c r="Z33" s="184"/>
      <c r="AA33" s="184"/>
      <c r="AB33" s="184"/>
      <c r="AC33" s="184"/>
      <c r="AD33" s="184"/>
      <c r="AE33" s="184"/>
      <c r="AF33" s="184"/>
      <c r="AG33" s="184"/>
      <c r="AH33" s="184"/>
      <c r="AI33" s="184"/>
      <c r="AJ33" s="184"/>
      <c r="AK33" s="184"/>
      <c r="AL33" s="184"/>
      <c r="AM33" s="184"/>
      <c r="AN33" s="184"/>
      <c r="AO33" s="184"/>
      <c r="AP33" s="184"/>
      <c r="AQ33" s="184"/>
      <c r="AR33" s="184"/>
      <c r="AS33" s="184"/>
      <c r="AT33" s="184"/>
      <c r="AU33" s="184"/>
      <c r="AV33" s="184"/>
      <c r="AW33" s="184"/>
      <c r="AX33" s="184"/>
      <c r="AY33" s="184"/>
    </row>
    <row r="34" spans="1:51" x14ac:dyDescent="0.25">
      <c r="A34" s="206" t="s">
        <v>217</v>
      </c>
      <c r="B34" s="206" t="s">
        <v>174</v>
      </c>
      <c r="C34" s="248" t="s">
        <v>597</v>
      </c>
      <c r="D34" s="270" t="s">
        <v>582</v>
      </c>
      <c r="E34" s="206" t="s">
        <v>284</v>
      </c>
      <c r="F34" s="207">
        <v>5418.79</v>
      </c>
      <c r="G34" s="207">
        <f t="shared" ref="G34:G65" si="5">+F34*12</f>
        <v>65025.479999999996</v>
      </c>
      <c r="H34" s="193" t="s">
        <v>267</v>
      </c>
      <c r="I34" s="194">
        <v>25000</v>
      </c>
      <c r="J34" s="194">
        <v>53334</v>
      </c>
      <c r="K34" s="195">
        <v>60000</v>
      </c>
      <c r="L34" s="196">
        <v>248070.79</v>
      </c>
      <c r="M34" s="197">
        <f t="shared" ref="M34:M65" si="6">+F34*12</f>
        <v>65025.479999999996</v>
      </c>
      <c r="N34" s="198">
        <v>15411.32</v>
      </c>
      <c r="O34" s="199">
        <f t="shared" ref="O34:O65" si="7">+L34*0.9/5</f>
        <v>44652.742200000001</v>
      </c>
      <c r="P34" s="200">
        <v>5481.62</v>
      </c>
      <c r="Q34" s="190">
        <f t="shared" si="4"/>
        <v>383</v>
      </c>
      <c r="R34" s="313" t="s">
        <v>500</v>
      </c>
      <c r="S34" s="252">
        <v>251271.34</v>
      </c>
      <c r="T34" s="184"/>
      <c r="U34" s="184"/>
      <c r="V34" s="184"/>
      <c r="W34" s="184"/>
      <c r="X34" s="184"/>
      <c r="Y34" s="184"/>
      <c r="Z34" s="184"/>
      <c r="AA34" s="184"/>
      <c r="AB34" s="184"/>
      <c r="AC34" s="184"/>
      <c r="AD34" s="184"/>
      <c r="AE34" s="184"/>
      <c r="AF34" s="184"/>
      <c r="AG34" s="184"/>
      <c r="AH34" s="184"/>
      <c r="AI34" s="184"/>
      <c r="AJ34" s="184"/>
      <c r="AK34" s="184"/>
      <c r="AL34" s="184"/>
      <c r="AM34" s="184"/>
      <c r="AN34" s="184"/>
      <c r="AO34" s="184"/>
      <c r="AP34" s="184"/>
      <c r="AQ34" s="184"/>
      <c r="AR34" s="184"/>
      <c r="AS34" s="184"/>
      <c r="AT34" s="184"/>
      <c r="AU34" s="184"/>
      <c r="AV34" s="184"/>
      <c r="AW34" s="184"/>
      <c r="AX34" s="184"/>
      <c r="AY34" s="184"/>
    </row>
    <row r="35" spans="1:51" x14ac:dyDescent="0.25">
      <c r="A35" s="206" t="s">
        <v>218</v>
      </c>
      <c r="B35" s="206" t="s">
        <v>175</v>
      </c>
      <c r="C35" s="248" t="s">
        <v>597</v>
      </c>
      <c r="D35" s="270" t="s">
        <v>283</v>
      </c>
      <c r="E35" s="206" t="s">
        <v>284</v>
      </c>
      <c r="F35" s="207">
        <v>5418.79</v>
      </c>
      <c r="G35" s="207">
        <f t="shared" si="5"/>
        <v>65025.479999999996</v>
      </c>
      <c r="H35" s="193" t="s">
        <v>267</v>
      </c>
      <c r="I35" s="194">
        <v>40000</v>
      </c>
      <c r="J35" s="194">
        <v>32148</v>
      </c>
      <c r="K35" s="195">
        <v>35000</v>
      </c>
      <c r="L35" s="196">
        <v>248070.79</v>
      </c>
      <c r="M35" s="197">
        <f t="shared" si="6"/>
        <v>65025.479999999996</v>
      </c>
      <c r="N35" s="198">
        <v>15411.32</v>
      </c>
      <c r="O35" s="199">
        <f t="shared" si="7"/>
        <v>44652.742200000001</v>
      </c>
      <c r="P35" s="200">
        <v>5481.62</v>
      </c>
      <c r="Q35" s="190">
        <f t="shared" si="4"/>
        <v>383</v>
      </c>
      <c r="R35" s="313" t="s">
        <v>501</v>
      </c>
      <c r="S35" s="252">
        <v>251271.34</v>
      </c>
      <c r="T35" s="184"/>
      <c r="U35" s="184"/>
      <c r="V35" s="184"/>
      <c r="W35" s="184"/>
      <c r="X35" s="184"/>
      <c r="Y35" s="184"/>
      <c r="Z35" s="184"/>
      <c r="AA35" s="184"/>
      <c r="AB35" s="184"/>
      <c r="AC35" s="184"/>
      <c r="AD35" s="184"/>
      <c r="AE35" s="184"/>
      <c r="AF35" s="184"/>
      <c r="AG35" s="184"/>
      <c r="AH35" s="184"/>
      <c r="AI35" s="184"/>
      <c r="AJ35" s="184"/>
      <c r="AK35" s="184"/>
      <c r="AL35" s="184"/>
      <c r="AM35" s="184"/>
      <c r="AN35" s="184"/>
      <c r="AO35" s="184"/>
      <c r="AP35" s="184"/>
      <c r="AQ35" s="184"/>
      <c r="AR35" s="184"/>
      <c r="AS35" s="184"/>
      <c r="AT35" s="184"/>
      <c r="AU35" s="184"/>
      <c r="AV35" s="184"/>
      <c r="AW35" s="184"/>
      <c r="AX35" s="184"/>
      <c r="AY35" s="184"/>
    </row>
    <row r="36" spans="1:51" x14ac:dyDescent="0.25">
      <c r="A36" s="206" t="s">
        <v>219</v>
      </c>
      <c r="B36" s="206" t="s">
        <v>176</v>
      </c>
      <c r="C36" s="248" t="s">
        <v>597</v>
      </c>
      <c r="D36" s="270" t="s">
        <v>283</v>
      </c>
      <c r="E36" s="206" t="s">
        <v>284</v>
      </c>
      <c r="F36" s="207">
        <v>5418.79</v>
      </c>
      <c r="G36" s="207">
        <f t="shared" si="5"/>
        <v>65025.479999999996</v>
      </c>
      <c r="H36" s="193" t="s">
        <v>267</v>
      </c>
      <c r="I36" s="194">
        <v>40000</v>
      </c>
      <c r="J36" s="194">
        <v>33912</v>
      </c>
      <c r="K36" s="195">
        <v>35000</v>
      </c>
      <c r="L36" s="196">
        <v>248070.79</v>
      </c>
      <c r="M36" s="197">
        <f t="shared" si="6"/>
        <v>65025.479999999996</v>
      </c>
      <c r="N36" s="198">
        <v>15411.32</v>
      </c>
      <c r="O36" s="199">
        <f t="shared" si="7"/>
        <v>44652.742200000001</v>
      </c>
      <c r="P36" s="200">
        <v>5481.62</v>
      </c>
      <c r="Q36" s="190">
        <f t="shared" si="4"/>
        <v>383</v>
      </c>
      <c r="R36" s="313" t="s">
        <v>502</v>
      </c>
      <c r="S36" s="252">
        <v>251271.34</v>
      </c>
      <c r="T36" s="184"/>
      <c r="U36" s="184"/>
      <c r="V36" s="184"/>
      <c r="W36" s="184"/>
      <c r="X36" s="184"/>
      <c r="Y36" s="184"/>
      <c r="Z36" s="184"/>
      <c r="AA36" s="184"/>
      <c r="AB36" s="184"/>
      <c r="AC36" s="184"/>
      <c r="AD36" s="184"/>
      <c r="AE36" s="184"/>
      <c r="AF36" s="184"/>
      <c r="AG36" s="184"/>
      <c r="AH36" s="184"/>
      <c r="AI36" s="184"/>
      <c r="AJ36" s="184"/>
      <c r="AK36" s="184"/>
      <c r="AL36" s="184"/>
      <c r="AM36" s="184"/>
      <c r="AN36" s="184"/>
      <c r="AO36" s="184"/>
      <c r="AP36" s="184"/>
      <c r="AQ36" s="184"/>
      <c r="AR36" s="184"/>
      <c r="AS36" s="184"/>
      <c r="AT36" s="184"/>
      <c r="AU36" s="184"/>
      <c r="AV36" s="184"/>
      <c r="AW36" s="184"/>
      <c r="AX36" s="184"/>
      <c r="AY36" s="184"/>
    </row>
    <row r="37" spans="1:51" x14ac:dyDescent="0.25">
      <c r="A37" s="206" t="s">
        <v>220</v>
      </c>
      <c r="B37" s="206" t="s">
        <v>177</v>
      </c>
      <c r="C37" s="248" t="s">
        <v>597</v>
      </c>
      <c r="D37" s="270" t="s">
        <v>283</v>
      </c>
      <c r="E37" s="206" t="s">
        <v>284</v>
      </c>
      <c r="F37" s="207">
        <v>5418.79</v>
      </c>
      <c r="G37" s="207">
        <f t="shared" si="5"/>
        <v>65025.479999999996</v>
      </c>
      <c r="H37" s="193" t="s">
        <v>267</v>
      </c>
      <c r="I37" s="194">
        <v>40000</v>
      </c>
      <c r="J37" s="194">
        <v>20850</v>
      </c>
      <c r="K37" s="195">
        <v>30000</v>
      </c>
      <c r="L37" s="196">
        <v>248070.79</v>
      </c>
      <c r="M37" s="197">
        <f t="shared" si="6"/>
        <v>65025.479999999996</v>
      </c>
      <c r="N37" s="198">
        <v>15411.32</v>
      </c>
      <c r="O37" s="199">
        <f t="shared" si="7"/>
        <v>44652.742200000001</v>
      </c>
      <c r="P37" s="200">
        <v>5481.62</v>
      </c>
      <c r="Q37" s="190">
        <f t="shared" si="4"/>
        <v>383</v>
      </c>
      <c r="R37" s="313" t="s">
        <v>503</v>
      </c>
      <c r="S37" s="252">
        <v>251271.34</v>
      </c>
      <c r="T37" s="184"/>
      <c r="U37" s="184"/>
      <c r="V37" s="184"/>
      <c r="W37" s="184"/>
      <c r="X37" s="184"/>
      <c r="Y37" s="184"/>
      <c r="Z37" s="184"/>
      <c r="AA37" s="184"/>
      <c r="AB37" s="184"/>
      <c r="AC37" s="184"/>
      <c r="AD37" s="184"/>
      <c r="AE37" s="184"/>
      <c r="AF37" s="184"/>
      <c r="AG37" s="184"/>
      <c r="AH37" s="184"/>
      <c r="AI37" s="184"/>
      <c r="AJ37" s="184"/>
      <c r="AK37" s="184"/>
      <c r="AL37" s="184"/>
      <c r="AM37" s="184"/>
      <c r="AN37" s="184"/>
      <c r="AO37" s="184"/>
      <c r="AP37" s="184"/>
      <c r="AQ37" s="184"/>
      <c r="AR37" s="184"/>
      <c r="AS37" s="184"/>
      <c r="AT37" s="184"/>
      <c r="AU37" s="184"/>
      <c r="AV37" s="184"/>
      <c r="AW37" s="184"/>
      <c r="AX37" s="184"/>
      <c r="AY37" s="184"/>
    </row>
    <row r="38" spans="1:51" x14ac:dyDescent="0.25">
      <c r="A38" s="206" t="s">
        <v>221</v>
      </c>
      <c r="B38" s="206" t="s">
        <v>332</v>
      </c>
      <c r="C38" s="248" t="s">
        <v>597</v>
      </c>
      <c r="D38" s="270" t="s">
        <v>283</v>
      </c>
      <c r="E38" s="206" t="s">
        <v>284</v>
      </c>
      <c r="F38" s="207">
        <v>5418.79</v>
      </c>
      <c r="G38" s="207">
        <f t="shared" si="5"/>
        <v>65025.479999999996</v>
      </c>
      <c r="H38" s="193" t="s">
        <v>267</v>
      </c>
      <c r="I38" s="194">
        <v>30000</v>
      </c>
      <c r="J38" s="194">
        <v>14417</v>
      </c>
      <c r="K38" s="195">
        <v>20000</v>
      </c>
      <c r="L38" s="196">
        <v>248070.79</v>
      </c>
      <c r="M38" s="197">
        <f t="shared" si="6"/>
        <v>65025.479999999996</v>
      </c>
      <c r="N38" s="198">
        <v>15411.32</v>
      </c>
      <c r="O38" s="199">
        <f t="shared" si="7"/>
        <v>44652.742200000001</v>
      </c>
      <c r="P38" s="200">
        <v>5481.62</v>
      </c>
      <c r="Q38" s="190">
        <f t="shared" si="4"/>
        <v>383</v>
      </c>
      <c r="R38" s="313" t="s">
        <v>504</v>
      </c>
      <c r="S38" s="252">
        <v>251271.34</v>
      </c>
      <c r="T38" s="184"/>
      <c r="U38" s="184"/>
      <c r="V38" s="184"/>
      <c r="W38" s="184"/>
      <c r="X38" s="184"/>
      <c r="Y38" s="184"/>
      <c r="Z38" s="184"/>
      <c r="AA38" s="184"/>
      <c r="AB38" s="184"/>
      <c r="AC38" s="184"/>
      <c r="AD38" s="184"/>
      <c r="AE38" s="184"/>
      <c r="AF38" s="184"/>
      <c r="AG38" s="184"/>
      <c r="AH38" s="184"/>
      <c r="AI38" s="184"/>
      <c r="AJ38" s="184"/>
      <c r="AK38" s="184"/>
      <c r="AL38" s="184"/>
      <c r="AM38" s="184"/>
      <c r="AN38" s="184"/>
      <c r="AO38" s="184"/>
      <c r="AP38" s="184"/>
      <c r="AQ38" s="184"/>
      <c r="AR38" s="184"/>
      <c r="AS38" s="184"/>
      <c r="AT38" s="184"/>
      <c r="AU38" s="184"/>
      <c r="AV38" s="184"/>
      <c r="AW38" s="184"/>
      <c r="AX38" s="184"/>
      <c r="AY38" s="184"/>
    </row>
    <row r="39" spans="1:51" x14ac:dyDescent="0.25">
      <c r="A39" s="206" t="s">
        <v>222</v>
      </c>
      <c r="B39" s="206" t="s">
        <v>381</v>
      </c>
      <c r="C39" s="248" t="s">
        <v>597</v>
      </c>
      <c r="D39" s="270" t="s">
        <v>283</v>
      </c>
      <c r="E39" s="206" t="s">
        <v>284</v>
      </c>
      <c r="F39" s="207">
        <v>5418.79</v>
      </c>
      <c r="G39" s="207">
        <f t="shared" si="5"/>
        <v>65025.479999999996</v>
      </c>
      <c r="H39" s="193" t="s">
        <v>267</v>
      </c>
      <c r="I39" s="194">
        <v>20000</v>
      </c>
      <c r="J39" s="194">
        <v>16071</v>
      </c>
      <c r="K39" s="195">
        <v>20000</v>
      </c>
      <c r="L39" s="196">
        <v>248070.79</v>
      </c>
      <c r="M39" s="197">
        <f t="shared" si="6"/>
        <v>65025.479999999996</v>
      </c>
      <c r="N39" s="198">
        <v>15411.32</v>
      </c>
      <c r="O39" s="199">
        <f t="shared" si="7"/>
        <v>44652.742200000001</v>
      </c>
      <c r="P39" s="200">
        <v>5481.62</v>
      </c>
      <c r="Q39" s="190">
        <f t="shared" si="4"/>
        <v>383</v>
      </c>
      <c r="R39" s="313" t="s">
        <v>505</v>
      </c>
      <c r="S39" s="252">
        <v>251271.34</v>
      </c>
      <c r="T39" s="184"/>
      <c r="U39" s="184"/>
      <c r="V39" s="184"/>
      <c r="W39" s="184"/>
      <c r="X39" s="184"/>
      <c r="Y39" s="184"/>
      <c r="Z39" s="184"/>
      <c r="AA39" s="184"/>
      <c r="AB39" s="184"/>
      <c r="AC39" s="184"/>
      <c r="AD39" s="184"/>
      <c r="AE39" s="184"/>
      <c r="AF39" s="184"/>
      <c r="AG39" s="184"/>
      <c r="AH39" s="184"/>
      <c r="AI39" s="184"/>
      <c r="AJ39" s="184"/>
      <c r="AK39" s="184"/>
      <c r="AL39" s="184"/>
      <c r="AM39" s="184"/>
      <c r="AN39" s="184"/>
      <c r="AO39" s="184"/>
      <c r="AP39" s="184"/>
      <c r="AQ39" s="184"/>
      <c r="AR39" s="184"/>
      <c r="AS39" s="184"/>
      <c r="AT39" s="184"/>
      <c r="AU39" s="184"/>
      <c r="AV39" s="184"/>
      <c r="AW39" s="184"/>
      <c r="AX39" s="184"/>
      <c r="AY39" s="184"/>
    </row>
    <row r="40" spans="1:51" x14ac:dyDescent="0.25">
      <c r="A40" s="206" t="s">
        <v>223</v>
      </c>
      <c r="B40" s="206" t="s">
        <v>382</v>
      </c>
      <c r="C40" s="248" t="s">
        <v>597</v>
      </c>
      <c r="D40" s="270" t="s">
        <v>283</v>
      </c>
      <c r="E40" s="206" t="s">
        <v>284</v>
      </c>
      <c r="F40" s="207">
        <v>5418.79</v>
      </c>
      <c r="G40" s="207">
        <f t="shared" si="5"/>
        <v>65025.479999999996</v>
      </c>
      <c r="H40" s="193" t="s">
        <v>267</v>
      </c>
      <c r="I40" s="194">
        <v>20000</v>
      </c>
      <c r="J40" s="194">
        <v>10515</v>
      </c>
      <c r="K40" s="195">
        <v>15000</v>
      </c>
      <c r="L40" s="196">
        <v>248070.79</v>
      </c>
      <c r="M40" s="197">
        <f t="shared" si="6"/>
        <v>65025.479999999996</v>
      </c>
      <c r="N40" s="198">
        <v>15411.32</v>
      </c>
      <c r="O40" s="199">
        <f t="shared" si="7"/>
        <v>44652.742200000001</v>
      </c>
      <c r="P40" s="200">
        <v>5481.62</v>
      </c>
      <c r="Q40" s="190">
        <f t="shared" si="4"/>
        <v>383</v>
      </c>
      <c r="R40" s="313" t="s">
        <v>506</v>
      </c>
      <c r="S40" s="252">
        <v>251271.34</v>
      </c>
      <c r="T40" s="184"/>
      <c r="U40" s="184"/>
      <c r="V40" s="184"/>
      <c r="W40" s="184"/>
      <c r="X40" s="184"/>
      <c r="Y40" s="184"/>
      <c r="Z40" s="184"/>
      <c r="AA40" s="184"/>
      <c r="AB40" s="184"/>
      <c r="AC40" s="184"/>
      <c r="AD40" s="184"/>
      <c r="AE40" s="184"/>
      <c r="AF40" s="184"/>
      <c r="AG40" s="184"/>
      <c r="AH40" s="184"/>
      <c r="AI40" s="184"/>
      <c r="AJ40" s="184"/>
      <c r="AK40" s="184"/>
      <c r="AL40" s="184"/>
      <c r="AM40" s="184"/>
      <c r="AN40" s="184"/>
      <c r="AO40" s="184"/>
      <c r="AP40" s="184"/>
      <c r="AQ40" s="184"/>
      <c r="AR40" s="184"/>
      <c r="AS40" s="184"/>
      <c r="AT40" s="184"/>
      <c r="AU40" s="184"/>
      <c r="AV40" s="184"/>
      <c r="AW40" s="184"/>
      <c r="AX40" s="184"/>
      <c r="AY40" s="184"/>
    </row>
    <row r="41" spans="1:51" x14ac:dyDescent="0.25">
      <c r="A41" s="206" t="s">
        <v>224</v>
      </c>
      <c r="B41" s="206" t="s">
        <v>383</v>
      </c>
      <c r="C41" s="248" t="s">
        <v>597</v>
      </c>
      <c r="D41" s="270" t="s">
        <v>582</v>
      </c>
      <c r="E41" s="206" t="s">
        <v>284</v>
      </c>
      <c r="F41" s="207">
        <v>5418.79</v>
      </c>
      <c r="G41" s="207">
        <f t="shared" si="5"/>
        <v>65025.479999999996</v>
      </c>
      <c r="H41" s="193" t="s">
        <v>267</v>
      </c>
      <c r="I41" s="194">
        <v>20000</v>
      </c>
      <c r="J41" s="194">
        <v>9821</v>
      </c>
      <c r="K41" s="195">
        <v>10000</v>
      </c>
      <c r="L41" s="196">
        <v>248070.79</v>
      </c>
      <c r="M41" s="197">
        <f t="shared" si="6"/>
        <v>65025.479999999996</v>
      </c>
      <c r="N41" s="198">
        <v>15411.32</v>
      </c>
      <c r="O41" s="199">
        <f t="shared" si="7"/>
        <v>44652.742200000001</v>
      </c>
      <c r="P41" s="200">
        <v>5481.62</v>
      </c>
      <c r="Q41" s="190">
        <f t="shared" si="4"/>
        <v>383</v>
      </c>
      <c r="R41" s="313" t="s">
        <v>507</v>
      </c>
      <c r="S41" s="252">
        <v>251271.34</v>
      </c>
      <c r="T41" s="184"/>
      <c r="U41" s="184"/>
      <c r="V41" s="184"/>
      <c r="W41" s="184"/>
      <c r="X41" s="184"/>
      <c r="Y41" s="184"/>
      <c r="Z41" s="184"/>
      <c r="AA41" s="184"/>
      <c r="AB41" s="184"/>
      <c r="AC41" s="184"/>
      <c r="AD41" s="184"/>
      <c r="AE41" s="184"/>
      <c r="AF41" s="184"/>
      <c r="AG41" s="184"/>
      <c r="AH41" s="184"/>
      <c r="AI41" s="184"/>
      <c r="AJ41" s="184"/>
      <c r="AK41" s="184"/>
      <c r="AL41" s="184"/>
      <c r="AM41" s="184"/>
      <c r="AN41" s="184"/>
      <c r="AO41" s="184"/>
      <c r="AP41" s="184"/>
      <c r="AQ41" s="184"/>
      <c r="AR41" s="184"/>
      <c r="AS41" s="184"/>
      <c r="AT41" s="184"/>
      <c r="AU41" s="184"/>
      <c r="AV41" s="184"/>
      <c r="AW41" s="184"/>
      <c r="AX41" s="184"/>
      <c r="AY41" s="184"/>
    </row>
    <row r="42" spans="1:51" x14ac:dyDescent="0.25">
      <c r="A42" s="206" t="s">
        <v>225</v>
      </c>
      <c r="B42" s="206" t="s">
        <v>384</v>
      </c>
      <c r="C42" s="248" t="s">
        <v>597</v>
      </c>
      <c r="D42" s="270" t="s">
        <v>283</v>
      </c>
      <c r="E42" s="206" t="s">
        <v>284</v>
      </c>
      <c r="F42" s="207">
        <v>5418.79</v>
      </c>
      <c r="G42" s="207">
        <f t="shared" si="5"/>
        <v>65025.479999999996</v>
      </c>
      <c r="H42" s="193" t="s">
        <v>267</v>
      </c>
      <c r="I42" s="194">
        <v>20000</v>
      </c>
      <c r="J42" s="194">
        <v>11936</v>
      </c>
      <c r="K42" s="195">
        <v>15000</v>
      </c>
      <c r="L42" s="196">
        <v>248070.79</v>
      </c>
      <c r="M42" s="197">
        <f t="shared" si="6"/>
        <v>65025.479999999996</v>
      </c>
      <c r="N42" s="198">
        <v>15411.32</v>
      </c>
      <c r="O42" s="199">
        <f t="shared" si="7"/>
        <v>44652.742200000001</v>
      </c>
      <c r="P42" s="200">
        <v>5481.62</v>
      </c>
      <c r="Q42" s="190">
        <f t="shared" si="4"/>
        <v>383</v>
      </c>
      <c r="R42" s="313" t="s">
        <v>508</v>
      </c>
      <c r="S42" s="252">
        <v>251271.34</v>
      </c>
      <c r="T42" s="184"/>
      <c r="U42" s="184"/>
      <c r="V42" s="184"/>
      <c r="W42" s="184"/>
      <c r="X42" s="184"/>
      <c r="Y42" s="184"/>
      <c r="Z42" s="184"/>
      <c r="AA42" s="184"/>
      <c r="AB42" s="184"/>
      <c r="AC42" s="184"/>
      <c r="AD42" s="184"/>
      <c r="AE42" s="184"/>
      <c r="AF42" s="184"/>
      <c r="AG42" s="184"/>
      <c r="AH42" s="184"/>
      <c r="AI42" s="184"/>
      <c r="AJ42" s="184"/>
      <c r="AK42" s="184"/>
      <c r="AL42" s="184"/>
      <c r="AM42" s="184"/>
      <c r="AN42" s="184"/>
      <c r="AO42" s="184"/>
      <c r="AP42" s="184"/>
      <c r="AQ42" s="184"/>
      <c r="AR42" s="184"/>
      <c r="AS42" s="184"/>
      <c r="AT42" s="184"/>
      <c r="AU42" s="184"/>
      <c r="AV42" s="184"/>
      <c r="AW42" s="184"/>
      <c r="AX42" s="184"/>
      <c r="AY42" s="184"/>
    </row>
    <row r="43" spans="1:51" x14ac:dyDescent="0.25">
      <c r="A43" s="208" t="s">
        <v>265</v>
      </c>
      <c r="B43" s="208" t="s">
        <v>158</v>
      </c>
      <c r="C43" s="2" t="s">
        <v>598</v>
      </c>
      <c r="D43" s="270" t="s">
        <v>39</v>
      </c>
      <c r="E43" s="208" t="s">
        <v>266</v>
      </c>
      <c r="F43" s="209">
        <v>4954.3900000000003</v>
      </c>
      <c r="G43" s="209">
        <f t="shared" si="5"/>
        <v>59452.680000000008</v>
      </c>
      <c r="H43" s="193" t="s">
        <v>267</v>
      </c>
      <c r="I43" s="194">
        <v>14000</v>
      </c>
      <c r="J43" s="194">
        <v>37617</v>
      </c>
      <c r="K43" s="195">
        <v>40000</v>
      </c>
      <c r="L43" s="196">
        <v>225014.33</v>
      </c>
      <c r="M43" s="197">
        <f t="shared" si="6"/>
        <v>59452.680000000008</v>
      </c>
      <c r="N43" s="198">
        <v>14449.81</v>
      </c>
      <c r="O43" s="199">
        <f t="shared" si="7"/>
        <v>40502.579400000002</v>
      </c>
      <c r="P43" s="200">
        <v>5481.62</v>
      </c>
      <c r="Q43" s="190">
        <f t="shared" si="4"/>
        <v>383</v>
      </c>
      <c r="R43" s="313" t="s">
        <v>509</v>
      </c>
      <c r="S43" s="252">
        <v>228155.56</v>
      </c>
      <c r="T43" s="184"/>
      <c r="U43" s="184"/>
      <c r="V43" s="184"/>
      <c r="W43" s="184"/>
      <c r="X43" s="184"/>
      <c r="Y43" s="184"/>
      <c r="Z43" s="184"/>
      <c r="AA43" s="184"/>
      <c r="AB43" s="184"/>
      <c r="AC43" s="184"/>
      <c r="AD43" s="184"/>
      <c r="AE43" s="184"/>
      <c r="AF43" s="184"/>
      <c r="AG43" s="184"/>
      <c r="AH43" s="184"/>
      <c r="AI43" s="184"/>
      <c r="AJ43" s="184"/>
      <c r="AK43" s="184"/>
      <c r="AL43" s="184"/>
      <c r="AM43" s="184"/>
      <c r="AN43" s="184"/>
      <c r="AO43" s="184"/>
      <c r="AP43" s="184"/>
      <c r="AQ43" s="184"/>
      <c r="AR43" s="184"/>
      <c r="AS43" s="184"/>
      <c r="AT43" s="184"/>
      <c r="AU43" s="184"/>
      <c r="AV43" s="184"/>
      <c r="AW43" s="184"/>
      <c r="AX43" s="184"/>
      <c r="AY43" s="184"/>
    </row>
    <row r="44" spans="1:51" x14ac:dyDescent="0.25">
      <c r="A44" s="208" t="s">
        <v>279</v>
      </c>
      <c r="B44" s="208" t="s">
        <v>166</v>
      </c>
      <c r="C44" s="2" t="s">
        <v>598</v>
      </c>
      <c r="D44" s="268" t="s">
        <v>39</v>
      </c>
      <c r="E44" s="208" t="s">
        <v>266</v>
      </c>
      <c r="F44" s="209">
        <v>4954.3900000000003</v>
      </c>
      <c r="G44" s="209">
        <f t="shared" si="5"/>
        <v>59452.680000000008</v>
      </c>
      <c r="H44" s="193" t="s">
        <v>267</v>
      </c>
      <c r="I44" s="194">
        <v>80000</v>
      </c>
      <c r="J44" s="194">
        <v>72288</v>
      </c>
      <c r="K44" s="195">
        <v>80000</v>
      </c>
      <c r="L44" s="196">
        <v>225014.33</v>
      </c>
      <c r="M44" s="197">
        <f t="shared" si="6"/>
        <v>59452.680000000008</v>
      </c>
      <c r="N44" s="198">
        <v>14449.81</v>
      </c>
      <c r="O44" s="199">
        <f t="shared" si="7"/>
        <v>40502.579400000002</v>
      </c>
      <c r="P44" s="200">
        <v>5481.62</v>
      </c>
      <c r="Q44" s="190">
        <f t="shared" si="4"/>
        <v>383</v>
      </c>
      <c r="R44" s="313" t="s">
        <v>510</v>
      </c>
      <c r="S44" s="252">
        <v>228156.28</v>
      </c>
      <c r="AA44" s="184"/>
      <c r="AB44" s="184"/>
      <c r="AC44" s="184"/>
      <c r="AD44" s="184"/>
      <c r="AE44" s="184"/>
      <c r="AF44" s="184"/>
      <c r="AG44" s="184"/>
      <c r="AH44" s="184"/>
      <c r="AI44" s="184"/>
      <c r="AJ44" s="184"/>
      <c r="AK44" s="184"/>
      <c r="AL44" s="184"/>
      <c r="AM44" s="184"/>
      <c r="AN44" s="184"/>
      <c r="AO44" s="184"/>
      <c r="AP44" s="184"/>
      <c r="AQ44" s="184"/>
      <c r="AR44" s="184"/>
      <c r="AS44" s="184"/>
      <c r="AT44" s="184"/>
      <c r="AU44" s="184"/>
      <c r="AV44" s="184"/>
      <c r="AW44" s="184"/>
      <c r="AX44" s="184"/>
      <c r="AY44" s="184"/>
    </row>
    <row r="45" spans="1:51" x14ac:dyDescent="0.25">
      <c r="A45" s="208" t="s">
        <v>299</v>
      </c>
      <c r="B45" s="208" t="s">
        <v>281</v>
      </c>
      <c r="C45" s="2" t="s">
        <v>608</v>
      </c>
      <c r="D45" s="270" t="s">
        <v>92</v>
      </c>
      <c r="E45" s="208" t="s">
        <v>266</v>
      </c>
      <c r="F45" s="209">
        <v>4954.3900000000003</v>
      </c>
      <c r="G45" s="209">
        <f t="shared" si="5"/>
        <v>59452.680000000008</v>
      </c>
      <c r="H45" s="193" t="s">
        <v>267</v>
      </c>
      <c r="I45" s="194">
        <v>12000</v>
      </c>
      <c r="J45" s="194">
        <v>6805</v>
      </c>
      <c r="K45" s="195">
        <v>10000</v>
      </c>
      <c r="L45" s="196">
        <v>225014.33</v>
      </c>
      <c r="M45" s="197">
        <f t="shared" si="6"/>
        <v>59452.680000000008</v>
      </c>
      <c r="N45" s="198">
        <v>14449.81</v>
      </c>
      <c r="O45" s="199">
        <f t="shared" si="7"/>
        <v>40502.579400000002</v>
      </c>
      <c r="P45" s="200">
        <v>5481.62</v>
      </c>
      <c r="Q45" s="190">
        <f t="shared" si="4"/>
        <v>383</v>
      </c>
      <c r="R45" s="313" t="s">
        <v>511</v>
      </c>
      <c r="S45" s="252">
        <v>228156.28</v>
      </c>
      <c r="AA45" s="184"/>
      <c r="AB45" s="184"/>
      <c r="AC45" s="184"/>
      <c r="AD45" s="184"/>
      <c r="AE45" s="184"/>
      <c r="AF45" s="184"/>
      <c r="AG45" s="184"/>
      <c r="AH45" s="184"/>
      <c r="AI45" s="184"/>
      <c r="AJ45" s="184"/>
      <c r="AK45" s="184"/>
      <c r="AL45" s="184"/>
      <c r="AM45" s="184"/>
      <c r="AN45" s="184"/>
      <c r="AO45" s="184"/>
      <c r="AP45" s="184"/>
      <c r="AQ45" s="184"/>
      <c r="AR45" s="184"/>
      <c r="AS45" s="184"/>
      <c r="AT45" s="184"/>
      <c r="AU45" s="184"/>
      <c r="AV45" s="184"/>
      <c r="AW45" s="184"/>
      <c r="AX45" s="184"/>
      <c r="AY45" s="184"/>
    </row>
    <row r="46" spans="1:51" x14ac:dyDescent="0.25">
      <c r="A46" s="208" t="s">
        <v>346</v>
      </c>
      <c r="B46" s="208" t="s">
        <v>347</v>
      </c>
      <c r="C46" s="2" t="s">
        <v>608</v>
      </c>
      <c r="D46" s="269" t="s">
        <v>92</v>
      </c>
      <c r="E46" s="208" t="s">
        <v>266</v>
      </c>
      <c r="F46" s="209">
        <v>4954.3900000000003</v>
      </c>
      <c r="G46" s="209">
        <f t="shared" si="5"/>
        <v>59452.680000000008</v>
      </c>
      <c r="H46" s="193" t="s">
        <v>267</v>
      </c>
      <c r="I46" s="194">
        <v>20000</v>
      </c>
      <c r="J46" s="194">
        <v>0</v>
      </c>
      <c r="K46" s="195">
        <v>15000</v>
      </c>
      <c r="L46" s="196">
        <v>225014.33</v>
      </c>
      <c r="M46" s="197">
        <f t="shared" si="6"/>
        <v>59452.680000000008</v>
      </c>
      <c r="N46" s="198">
        <v>14449.81</v>
      </c>
      <c r="O46" s="199">
        <f t="shared" si="7"/>
        <v>40502.579400000002</v>
      </c>
      <c r="P46" s="200">
        <v>5481.62</v>
      </c>
      <c r="Q46" s="190">
        <f t="shared" si="4"/>
        <v>383</v>
      </c>
      <c r="R46" s="313" t="s">
        <v>512</v>
      </c>
      <c r="S46" s="252">
        <v>228156.28</v>
      </c>
      <c r="AA46" s="184"/>
      <c r="AB46" s="184"/>
      <c r="AC46" s="184"/>
      <c r="AD46" s="184"/>
      <c r="AE46" s="184"/>
      <c r="AF46" s="184"/>
      <c r="AG46" s="184"/>
      <c r="AH46" s="184"/>
      <c r="AI46" s="184"/>
      <c r="AJ46" s="184"/>
      <c r="AK46" s="184"/>
      <c r="AL46" s="184"/>
      <c r="AM46" s="184"/>
      <c r="AN46" s="184"/>
      <c r="AO46" s="184"/>
      <c r="AP46" s="184"/>
      <c r="AQ46" s="184"/>
      <c r="AR46" s="184"/>
      <c r="AS46" s="184"/>
      <c r="AT46" s="184"/>
      <c r="AU46" s="184"/>
      <c r="AV46" s="184"/>
      <c r="AW46" s="184"/>
      <c r="AX46" s="184"/>
      <c r="AY46" s="184"/>
    </row>
    <row r="47" spans="1:51" x14ac:dyDescent="0.25">
      <c r="A47" s="208" t="s">
        <v>348</v>
      </c>
      <c r="B47" s="208" t="s">
        <v>239</v>
      </c>
      <c r="C47" s="2" t="s">
        <v>608</v>
      </c>
      <c r="D47" s="270" t="s">
        <v>92</v>
      </c>
      <c r="E47" s="208" t="s">
        <v>266</v>
      </c>
      <c r="F47" s="209">
        <v>4954.3900000000003</v>
      </c>
      <c r="G47" s="209">
        <f t="shared" si="5"/>
        <v>59452.680000000008</v>
      </c>
      <c r="H47" s="193" t="s">
        <v>267</v>
      </c>
      <c r="I47" s="194">
        <v>30000</v>
      </c>
      <c r="J47" s="194">
        <v>21548</v>
      </c>
      <c r="K47" s="195">
        <v>30000</v>
      </c>
      <c r="L47" s="196">
        <v>225014.33</v>
      </c>
      <c r="M47" s="197">
        <f t="shared" si="6"/>
        <v>59452.680000000008</v>
      </c>
      <c r="N47" s="198">
        <v>14449.81</v>
      </c>
      <c r="O47" s="199">
        <f t="shared" si="7"/>
        <v>40502.579400000002</v>
      </c>
      <c r="P47" s="200">
        <v>5481.62</v>
      </c>
      <c r="Q47" s="190">
        <f t="shared" si="4"/>
        <v>383</v>
      </c>
      <c r="R47" s="313" t="s">
        <v>513</v>
      </c>
      <c r="S47" s="252">
        <v>228156.28</v>
      </c>
      <c r="AA47" s="184"/>
      <c r="AB47" s="184"/>
      <c r="AC47" s="184"/>
      <c r="AD47" s="184"/>
      <c r="AE47" s="184"/>
      <c r="AF47" s="184"/>
      <c r="AG47" s="184"/>
      <c r="AH47" s="184"/>
      <c r="AI47" s="184"/>
      <c r="AJ47" s="184"/>
      <c r="AK47" s="184"/>
      <c r="AL47" s="184"/>
      <c r="AM47" s="184"/>
      <c r="AN47" s="184"/>
      <c r="AO47" s="184"/>
      <c r="AP47" s="184"/>
      <c r="AQ47" s="184"/>
      <c r="AR47" s="184"/>
      <c r="AS47" s="184"/>
      <c r="AT47" s="184"/>
      <c r="AU47" s="184"/>
      <c r="AV47" s="184"/>
      <c r="AW47" s="184"/>
      <c r="AX47" s="184"/>
      <c r="AY47" s="184"/>
    </row>
    <row r="48" spans="1:51" x14ac:dyDescent="0.25">
      <c r="A48" s="208" t="s">
        <v>349</v>
      </c>
      <c r="B48" s="208" t="s">
        <v>350</v>
      </c>
      <c r="C48" s="2" t="s">
        <v>607</v>
      </c>
      <c r="D48" s="270" t="s">
        <v>74</v>
      </c>
      <c r="E48" s="208" t="s">
        <v>266</v>
      </c>
      <c r="F48" s="209">
        <v>4954.3900000000003</v>
      </c>
      <c r="G48" s="209">
        <f t="shared" si="5"/>
        <v>59452.680000000008</v>
      </c>
      <c r="H48" s="193" t="s">
        <v>267</v>
      </c>
      <c r="I48" s="194">
        <v>18000</v>
      </c>
      <c r="J48" s="194">
        <v>11211</v>
      </c>
      <c r="K48" s="195">
        <v>15000</v>
      </c>
      <c r="L48" s="196">
        <v>225014.33</v>
      </c>
      <c r="M48" s="197">
        <f t="shared" si="6"/>
        <v>59452.680000000008</v>
      </c>
      <c r="N48" s="198">
        <v>14449.81</v>
      </c>
      <c r="O48" s="199">
        <f t="shared" si="7"/>
        <v>40502.579400000002</v>
      </c>
      <c r="P48" s="200">
        <v>5481.62</v>
      </c>
      <c r="Q48" s="190">
        <f t="shared" si="4"/>
        <v>383</v>
      </c>
      <c r="R48" s="313" t="s">
        <v>514</v>
      </c>
      <c r="S48" s="252">
        <v>228155.56</v>
      </c>
      <c r="AA48" s="184"/>
      <c r="AB48" s="184"/>
      <c r="AC48" s="184"/>
      <c r="AD48" s="184"/>
      <c r="AE48" s="184"/>
      <c r="AF48" s="184"/>
      <c r="AG48" s="184"/>
      <c r="AH48" s="184"/>
      <c r="AI48" s="184"/>
      <c r="AJ48" s="184"/>
      <c r="AK48" s="184"/>
      <c r="AL48" s="184"/>
      <c r="AM48" s="184"/>
      <c r="AN48" s="184"/>
      <c r="AO48" s="184"/>
      <c r="AP48" s="184"/>
      <c r="AQ48" s="184"/>
      <c r="AR48" s="184"/>
      <c r="AS48" s="184"/>
      <c r="AT48" s="184"/>
      <c r="AU48" s="184"/>
      <c r="AV48" s="184"/>
      <c r="AW48" s="184"/>
      <c r="AX48" s="184"/>
      <c r="AY48" s="184"/>
    </row>
    <row r="49" spans="1:51" x14ac:dyDescent="0.25">
      <c r="A49" s="210" t="s">
        <v>300</v>
      </c>
      <c r="B49" s="210" t="s">
        <v>298</v>
      </c>
      <c r="C49" s="2" t="s">
        <v>608</v>
      </c>
      <c r="D49" s="270" t="s">
        <v>92</v>
      </c>
      <c r="E49" s="210" t="s">
        <v>301</v>
      </c>
      <c r="F49" s="211">
        <v>5163.37</v>
      </c>
      <c r="G49" s="211">
        <f t="shared" si="5"/>
        <v>61960.44</v>
      </c>
      <c r="H49" s="193" t="s">
        <v>267</v>
      </c>
      <c r="I49" s="194">
        <v>16000</v>
      </c>
      <c r="J49" s="194">
        <v>0</v>
      </c>
      <c r="K49" s="195">
        <v>15000</v>
      </c>
      <c r="L49" s="196">
        <v>235490</v>
      </c>
      <c r="M49" s="197">
        <f t="shared" si="6"/>
        <v>61960.44</v>
      </c>
      <c r="N49" s="198">
        <v>14862.44</v>
      </c>
      <c r="O49" s="199">
        <f t="shared" si="7"/>
        <v>42388.2</v>
      </c>
      <c r="P49" s="200">
        <v>5481.62</v>
      </c>
      <c r="Q49" s="190">
        <f t="shared" si="4"/>
        <v>383</v>
      </c>
      <c r="R49" s="313" t="s">
        <v>515</v>
      </c>
      <c r="S49" s="252">
        <v>238529.56</v>
      </c>
      <c r="AA49" s="184"/>
      <c r="AB49" s="184"/>
      <c r="AC49" s="184"/>
      <c r="AD49" s="184"/>
      <c r="AE49" s="184"/>
      <c r="AF49" s="184"/>
      <c r="AG49" s="184"/>
      <c r="AH49" s="184"/>
      <c r="AI49" s="184"/>
      <c r="AJ49" s="184"/>
      <c r="AK49" s="184"/>
      <c r="AL49" s="184"/>
      <c r="AM49" s="184"/>
      <c r="AN49" s="184"/>
      <c r="AO49" s="184"/>
      <c r="AP49" s="184"/>
      <c r="AQ49" s="184"/>
      <c r="AR49" s="184"/>
      <c r="AS49" s="184"/>
      <c r="AT49" s="184"/>
      <c r="AU49" s="184"/>
      <c r="AV49" s="184"/>
      <c r="AW49" s="184"/>
      <c r="AX49" s="184"/>
      <c r="AY49" s="184"/>
    </row>
    <row r="50" spans="1:51" x14ac:dyDescent="0.25">
      <c r="A50" s="212" t="s">
        <v>286</v>
      </c>
      <c r="B50" s="212" t="s">
        <v>287</v>
      </c>
      <c r="C50" s="2" t="s">
        <v>585</v>
      </c>
      <c r="D50" s="268" t="s">
        <v>87</v>
      </c>
      <c r="E50" s="212" t="s">
        <v>262</v>
      </c>
      <c r="F50" s="213">
        <v>6998.47</v>
      </c>
      <c r="G50" s="213">
        <f t="shared" si="5"/>
        <v>83981.64</v>
      </c>
      <c r="H50" s="193" t="s">
        <v>288</v>
      </c>
      <c r="I50" s="194">
        <v>15000</v>
      </c>
      <c r="J50" s="194">
        <v>12406</v>
      </c>
      <c r="K50" s="195">
        <v>15000</v>
      </c>
      <c r="L50" s="196">
        <v>325220.26</v>
      </c>
      <c r="M50" s="197">
        <f t="shared" si="6"/>
        <v>83981.64</v>
      </c>
      <c r="N50" s="198">
        <v>18937.59</v>
      </c>
      <c r="O50" s="199">
        <f t="shared" si="7"/>
        <v>58539.646800000002</v>
      </c>
      <c r="P50" s="200">
        <v>5269.45</v>
      </c>
      <c r="Q50" s="190">
        <f>627+36</f>
        <v>663</v>
      </c>
      <c r="R50" s="313" t="s">
        <v>548</v>
      </c>
      <c r="S50" s="252">
        <f>286570.24+40119.84</f>
        <v>326690.07999999996</v>
      </c>
      <c r="T50" s="184"/>
      <c r="U50" s="184"/>
      <c r="V50" s="184"/>
      <c r="W50" s="184"/>
      <c r="X50" s="184"/>
      <c r="Y50" s="184"/>
      <c r="Z50" s="184"/>
      <c r="AA50" s="184"/>
      <c r="AB50" s="184"/>
      <c r="AC50" s="184"/>
      <c r="AD50" s="184"/>
      <c r="AE50" s="184"/>
      <c r="AF50" s="184"/>
      <c r="AG50" s="184"/>
      <c r="AH50" s="184"/>
      <c r="AI50" s="184"/>
      <c r="AJ50" s="184"/>
      <c r="AK50" s="184"/>
      <c r="AL50" s="184"/>
      <c r="AM50" s="184"/>
      <c r="AN50" s="184"/>
      <c r="AO50" s="184"/>
      <c r="AP50" s="184"/>
      <c r="AQ50" s="184"/>
      <c r="AR50" s="184"/>
      <c r="AS50" s="184"/>
      <c r="AT50" s="184"/>
      <c r="AU50" s="184"/>
      <c r="AV50" s="184"/>
      <c r="AW50" s="184"/>
      <c r="AX50" s="184"/>
      <c r="AY50" s="184"/>
    </row>
    <row r="51" spans="1:51" x14ac:dyDescent="0.25">
      <c r="A51" s="212" t="s">
        <v>289</v>
      </c>
      <c r="B51" s="212" t="s">
        <v>290</v>
      </c>
      <c r="C51" s="2" t="s">
        <v>583</v>
      </c>
      <c r="D51" s="268" t="s">
        <v>86</v>
      </c>
      <c r="E51" s="212" t="s">
        <v>262</v>
      </c>
      <c r="F51" s="213">
        <v>6998.47</v>
      </c>
      <c r="G51" s="213">
        <f t="shared" si="5"/>
        <v>83981.64</v>
      </c>
      <c r="H51" s="193" t="s">
        <v>288</v>
      </c>
      <c r="I51" s="194">
        <v>15000</v>
      </c>
      <c r="J51" s="194">
        <v>4147</v>
      </c>
      <c r="K51" s="195">
        <v>8000</v>
      </c>
      <c r="L51" s="196">
        <v>325220.26</v>
      </c>
      <c r="M51" s="197">
        <f t="shared" si="6"/>
        <v>83981.64</v>
      </c>
      <c r="N51" s="198">
        <v>18937.59</v>
      </c>
      <c r="O51" s="199">
        <f t="shared" si="7"/>
        <v>58539.646800000002</v>
      </c>
      <c r="P51" s="200">
        <v>5239.45</v>
      </c>
      <c r="Q51" s="190">
        <f>627+36</f>
        <v>663</v>
      </c>
      <c r="R51" s="313" t="s">
        <v>549</v>
      </c>
      <c r="S51" s="252">
        <f>286570.24+40119.84</f>
        <v>326690.07999999996</v>
      </c>
      <c r="AC51" s="184"/>
      <c r="AD51" s="184"/>
      <c r="AE51" s="184"/>
      <c r="AF51" s="184"/>
      <c r="AG51" s="184"/>
      <c r="AH51" s="184"/>
      <c r="AI51" s="184"/>
      <c r="AJ51" s="184"/>
      <c r="AK51" s="184"/>
      <c r="AL51" s="184"/>
      <c r="AM51" s="184"/>
      <c r="AN51" s="184"/>
      <c r="AO51" s="184"/>
      <c r="AP51" s="184"/>
      <c r="AQ51" s="184"/>
      <c r="AR51" s="184"/>
      <c r="AS51" s="184"/>
      <c r="AT51" s="184"/>
      <c r="AU51" s="184"/>
      <c r="AV51" s="184"/>
      <c r="AW51" s="184"/>
      <c r="AX51" s="184"/>
      <c r="AY51" s="184"/>
    </row>
    <row r="52" spans="1:51" x14ac:dyDescent="0.25">
      <c r="A52" s="214" t="s">
        <v>351</v>
      </c>
      <c r="B52" s="214" t="s">
        <v>352</v>
      </c>
      <c r="C52" s="2" t="s">
        <v>599</v>
      </c>
      <c r="D52" s="270" t="s">
        <v>39</v>
      </c>
      <c r="E52" s="214" t="s">
        <v>264</v>
      </c>
      <c r="F52" s="215">
        <v>6892.51</v>
      </c>
      <c r="G52" s="215">
        <f t="shared" si="5"/>
        <v>82710.12</v>
      </c>
      <c r="H52" s="193" t="s">
        <v>288</v>
      </c>
      <c r="I52" s="194">
        <v>15000</v>
      </c>
      <c r="J52" s="194">
        <v>1697</v>
      </c>
      <c r="K52" s="195">
        <v>5000</v>
      </c>
      <c r="L52" s="196">
        <v>231156.68</v>
      </c>
      <c r="M52" s="197">
        <f t="shared" si="6"/>
        <v>82710.12</v>
      </c>
      <c r="N52" s="198">
        <v>36478.78</v>
      </c>
      <c r="O52" s="199">
        <f t="shared" si="7"/>
        <v>41608.202399999995</v>
      </c>
      <c r="P52" s="200">
        <v>6057.27</v>
      </c>
      <c r="Q52" s="190">
        <v>636</v>
      </c>
      <c r="R52" s="313" t="s">
        <v>553</v>
      </c>
      <c r="S52" s="252">
        <v>231132.32</v>
      </c>
      <c r="AC52" s="184"/>
      <c r="AD52" s="184"/>
      <c r="AE52" s="184"/>
      <c r="AF52" s="184"/>
      <c r="AG52" s="184"/>
      <c r="AH52" s="184"/>
      <c r="AI52" s="184"/>
      <c r="AJ52" s="184"/>
      <c r="AK52" s="184"/>
      <c r="AL52" s="184"/>
      <c r="AM52" s="184"/>
      <c r="AN52" s="184"/>
      <c r="AO52" s="184"/>
      <c r="AP52" s="184"/>
      <c r="AQ52" s="184"/>
      <c r="AR52" s="184"/>
      <c r="AS52" s="184"/>
      <c r="AT52" s="184"/>
      <c r="AU52" s="184"/>
      <c r="AV52" s="184"/>
      <c r="AW52" s="184"/>
      <c r="AX52" s="184"/>
      <c r="AY52" s="184"/>
    </row>
    <row r="53" spans="1:51" x14ac:dyDescent="0.25">
      <c r="A53" s="214" t="s">
        <v>353</v>
      </c>
      <c r="B53" s="214" t="s">
        <v>354</v>
      </c>
      <c r="C53" s="2" t="s">
        <v>614</v>
      </c>
      <c r="D53" s="269" t="s">
        <v>41</v>
      </c>
      <c r="E53" s="214" t="s">
        <v>264</v>
      </c>
      <c r="F53" s="215">
        <v>6892.51</v>
      </c>
      <c r="G53" s="215">
        <f t="shared" si="5"/>
        <v>82710.12</v>
      </c>
      <c r="H53" s="193" t="s">
        <v>288</v>
      </c>
      <c r="I53" s="194">
        <v>8000</v>
      </c>
      <c r="J53" s="194">
        <v>13801</v>
      </c>
      <c r="K53" s="195">
        <v>15000</v>
      </c>
      <c r="L53" s="196">
        <v>231156.68</v>
      </c>
      <c r="M53" s="197">
        <f t="shared" si="6"/>
        <v>82710.12</v>
      </c>
      <c r="N53" s="198">
        <v>36478.78</v>
      </c>
      <c r="O53" s="199">
        <f t="shared" si="7"/>
        <v>41608.202399999995</v>
      </c>
      <c r="P53" s="200">
        <v>6057.27</v>
      </c>
      <c r="Q53" s="190">
        <v>636</v>
      </c>
      <c r="R53" s="313" t="s">
        <v>554</v>
      </c>
      <c r="S53" s="252">
        <v>231132.32</v>
      </c>
      <c r="T53" s="184"/>
      <c r="U53" s="184"/>
      <c r="V53" s="184"/>
      <c r="W53" s="184"/>
      <c r="X53" s="184"/>
      <c r="Y53" s="184"/>
      <c r="Z53" s="184"/>
      <c r="AA53" s="184"/>
      <c r="AB53" s="184"/>
      <c r="AC53" s="184"/>
      <c r="AD53" s="184"/>
      <c r="AE53" s="184"/>
      <c r="AF53" s="184"/>
      <c r="AG53" s="184"/>
      <c r="AH53" s="184"/>
      <c r="AI53" s="184"/>
      <c r="AJ53" s="184"/>
      <c r="AK53" s="184"/>
      <c r="AL53" s="184"/>
      <c r="AM53" s="184"/>
      <c r="AN53" s="184"/>
      <c r="AO53" s="184"/>
      <c r="AP53" s="184"/>
      <c r="AQ53" s="184"/>
      <c r="AR53" s="184"/>
      <c r="AS53" s="184"/>
      <c r="AT53" s="184"/>
      <c r="AU53" s="184"/>
      <c r="AV53" s="184"/>
      <c r="AW53" s="184"/>
      <c r="AX53" s="184"/>
      <c r="AY53" s="184"/>
    </row>
    <row r="54" spans="1:51" x14ac:dyDescent="0.25">
      <c r="A54" s="214" t="s">
        <v>388</v>
      </c>
      <c r="B54" s="214" t="s">
        <v>389</v>
      </c>
      <c r="C54" s="2" t="s">
        <v>614</v>
      </c>
      <c r="D54" s="270" t="s">
        <v>41</v>
      </c>
      <c r="E54" s="214" t="s">
        <v>264</v>
      </c>
      <c r="F54" s="215">
        <v>6892.51</v>
      </c>
      <c r="G54" s="215">
        <f t="shared" si="5"/>
        <v>82710.12</v>
      </c>
      <c r="H54" s="193" t="s">
        <v>288</v>
      </c>
      <c r="I54" s="194">
        <v>20000</v>
      </c>
      <c r="J54" s="194">
        <v>11906</v>
      </c>
      <c r="K54" s="195">
        <v>15000</v>
      </c>
      <c r="L54" s="196">
        <v>231156.68</v>
      </c>
      <c r="M54" s="197">
        <f t="shared" si="6"/>
        <v>82710.12</v>
      </c>
      <c r="N54" s="198">
        <v>36478.78</v>
      </c>
      <c r="O54" s="199">
        <f t="shared" si="7"/>
        <v>41608.202399999995</v>
      </c>
      <c r="P54" s="200">
        <v>6057.27</v>
      </c>
      <c r="Q54" s="190">
        <v>636</v>
      </c>
      <c r="R54" s="313" t="s">
        <v>555</v>
      </c>
      <c r="S54" s="252">
        <f>202747.65+28384.67</f>
        <v>231132.32</v>
      </c>
      <c r="T54" s="184"/>
      <c r="U54" s="184"/>
      <c r="V54" s="184"/>
      <c r="W54" s="184"/>
      <c r="X54" s="184"/>
      <c r="Y54" s="184"/>
      <c r="Z54" s="184"/>
      <c r="AA54" s="184"/>
      <c r="AB54" s="184"/>
      <c r="AC54" s="184"/>
      <c r="AD54" s="184"/>
      <c r="AE54" s="184"/>
      <c r="AF54" s="184"/>
      <c r="AG54" s="184"/>
      <c r="AH54" s="184"/>
      <c r="AI54" s="184"/>
      <c r="AJ54" s="184"/>
      <c r="AK54" s="184"/>
      <c r="AL54" s="184"/>
      <c r="AM54" s="184"/>
      <c r="AN54" s="184"/>
      <c r="AO54" s="184"/>
      <c r="AP54" s="184"/>
      <c r="AQ54" s="184"/>
      <c r="AR54" s="184"/>
      <c r="AS54" s="184"/>
      <c r="AT54" s="184"/>
      <c r="AU54" s="184"/>
      <c r="AV54" s="184"/>
      <c r="AW54" s="184"/>
      <c r="AX54" s="184"/>
      <c r="AY54" s="184"/>
    </row>
    <row r="55" spans="1:51" x14ac:dyDescent="0.25">
      <c r="A55" s="214" t="s">
        <v>390</v>
      </c>
      <c r="B55" s="214" t="s">
        <v>391</v>
      </c>
      <c r="C55" s="2" t="s">
        <v>614</v>
      </c>
      <c r="D55" s="270" t="s">
        <v>41</v>
      </c>
      <c r="E55" s="214" t="s">
        <v>264</v>
      </c>
      <c r="F55" s="215">
        <v>6892.51</v>
      </c>
      <c r="G55" s="215">
        <f t="shared" si="5"/>
        <v>82710.12</v>
      </c>
      <c r="H55" s="193" t="s">
        <v>288</v>
      </c>
      <c r="I55" s="194">
        <v>10000</v>
      </c>
      <c r="J55" s="194">
        <v>0</v>
      </c>
      <c r="K55" s="195">
        <v>15000</v>
      </c>
      <c r="L55" s="196">
        <v>231156.68</v>
      </c>
      <c r="M55" s="197">
        <f t="shared" si="6"/>
        <v>82710.12</v>
      </c>
      <c r="N55" s="198">
        <v>36478.78</v>
      </c>
      <c r="O55" s="199">
        <f t="shared" si="7"/>
        <v>41608.202399999995</v>
      </c>
      <c r="P55" s="200">
        <v>6057.27</v>
      </c>
      <c r="Q55" s="190">
        <v>636</v>
      </c>
      <c r="R55" s="313" t="s">
        <v>556</v>
      </c>
      <c r="S55" s="252">
        <v>231132.32</v>
      </c>
      <c r="T55" s="184"/>
      <c r="U55" s="184"/>
      <c r="V55" s="184"/>
      <c r="W55" s="184"/>
      <c r="X55" s="184"/>
      <c r="Y55" s="184"/>
      <c r="Z55" s="184"/>
      <c r="AA55" s="184"/>
      <c r="AB55" s="184"/>
      <c r="AC55" s="184"/>
      <c r="AD55" s="184"/>
      <c r="AE55" s="184"/>
      <c r="AF55" s="184"/>
      <c r="AG55" s="184"/>
      <c r="AH55" s="184"/>
      <c r="AI55" s="184"/>
      <c r="AJ55" s="184"/>
      <c r="AK55" s="184"/>
      <c r="AL55" s="184"/>
      <c r="AM55" s="184"/>
      <c r="AN55" s="184"/>
      <c r="AO55" s="184"/>
      <c r="AP55" s="184"/>
      <c r="AQ55" s="184"/>
      <c r="AR55" s="184"/>
      <c r="AS55" s="184"/>
      <c r="AT55" s="184"/>
      <c r="AU55" s="184"/>
      <c r="AV55" s="184"/>
      <c r="AW55" s="184"/>
      <c r="AX55" s="184"/>
      <c r="AY55" s="184"/>
    </row>
    <row r="56" spans="1:51" x14ac:dyDescent="0.25">
      <c r="A56" s="214" t="s">
        <v>392</v>
      </c>
      <c r="B56" s="214" t="s">
        <v>393</v>
      </c>
      <c r="C56" s="2" t="s">
        <v>612</v>
      </c>
      <c r="D56" s="269" t="s">
        <v>40</v>
      </c>
      <c r="E56" s="214" t="s">
        <v>264</v>
      </c>
      <c r="F56" s="215">
        <v>6892.51</v>
      </c>
      <c r="G56" s="215">
        <f t="shared" si="5"/>
        <v>82710.12</v>
      </c>
      <c r="H56" s="193" t="s">
        <v>288</v>
      </c>
      <c r="I56" s="194">
        <v>10000</v>
      </c>
      <c r="J56" s="194">
        <v>7795</v>
      </c>
      <c r="K56" s="195">
        <v>10000</v>
      </c>
      <c r="L56" s="196">
        <v>231156.68</v>
      </c>
      <c r="M56" s="197">
        <f t="shared" si="6"/>
        <v>82710.12</v>
      </c>
      <c r="N56" s="198">
        <v>36478.78</v>
      </c>
      <c r="O56" s="199">
        <f t="shared" si="7"/>
        <v>41608.202399999995</v>
      </c>
      <c r="P56" s="200">
        <v>6057.27</v>
      </c>
      <c r="Q56" s="190">
        <v>636</v>
      </c>
      <c r="R56" s="313" t="s">
        <v>557</v>
      </c>
      <c r="S56" s="252">
        <v>231132.32</v>
      </c>
      <c r="T56" s="184"/>
      <c r="U56" s="184"/>
      <c r="V56" s="184"/>
      <c r="W56" s="184"/>
      <c r="X56" s="184"/>
      <c r="Y56" s="184"/>
      <c r="Z56" s="184"/>
      <c r="AA56" s="184"/>
      <c r="AB56" s="184"/>
      <c r="AC56" s="184"/>
      <c r="AD56" s="184"/>
      <c r="AE56" s="184"/>
      <c r="AF56" s="184"/>
      <c r="AG56" s="184"/>
      <c r="AH56" s="184"/>
      <c r="AI56" s="184"/>
      <c r="AJ56" s="184"/>
      <c r="AK56" s="184"/>
      <c r="AL56" s="184"/>
      <c r="AM56" s="184"/>
      <c r="AN56" s="184"/>
      <c r="AO56" s="184"/>
      <c r="AP56" s="184"/>
      <c r="AQ56" s="184"/>
      <c r="AR56" s="184"/>
      <c r="AS56" s="184"/>
      <c r="AT56" s="184"/>
      <c r="AU56" s="184"/>
      <c r="AV56" s="184"/>
      <c r="AW56" s="184"/>
      <c r="AX56" s="184"/>
      <c r="AY56" s="184"/>
    </row>
    <row r="57" spans="1:51" x14ac:dyDescent="0.25">
      <c r="A57" s="216" t="s">
        <v>291</v>
      </c>
      <c r="B57" s="216" t="s">
        <v>178</v>
      </c>
      <c r="C57" s="2" t="s">
        <v>619</v>
      </c>
      <c r="D57" s="270" t="s">
        <v>582</v>
      </c>
      <c r="E57" s="216" t="s">
        <v>292</v>
      </c>
      <c r="F57" s="217">
        <v>8221.42</v>
      </c>
      <c r="G57" s="217">
        <f t="shared" si="5"/>
        <v>98657.040000000008</v>
      </c>
      <c r="H57" s="193" t="s">
        <v>267</v>
      </c>
      <c r="I57" s="194">
        <v>25000</v>
      </c>
      <c r="J57" s="194">
        <v>8442</v>
      </c>
      <c r="K57" s="195">
        <v>10000</v>
      </c>
      <c r="L57" s="196">
        <v>297175.94</v>
      </c>
      <c r="M57" s="197">
        <f t="shared" si="6"/>
        <v>98657.040000000008</v>
      </c>
      <c r="N57" s="198">
        <v>39221.85</v>
      </c>
      <c r="O57" s="199">
        <f t="shared" si="7"/>
        <v>53491.669200000004</v>
      </c>
      <c r="P57" s="200">
        <v>6057.27</v>
      </c>
      <c r="Q57" s="190">
        <v>1838</v>
      </c>
      <c r="R57" s="313" t="s">
        <v>558</v>
      </c>
      <c r="S57" s="252">
        <v>307313.94</v>
      </c>
      <c r="T57" s="184"/>
      <c r="U57" s="184"/>
      <c r="V57" s="184"/>
      <c r="W57" s="184"/>
      <c r="X57" s="184"/>
      <c r="Y57" s="184"/>
      <c r="Z57" s="184"/>
      <c r="AA57" s="184"/>
      <c r="AB57" s="184"/>
      <c r="AC57" s="184"/>
      <c r="AD57" s="184"/>
      <c r="AE57" s="184"/>
      <c r="AF57" s="184"/>
      <c r="AG57" s="184"/>
      <c r="AH57" s="184"/>
      <c r="AI57" s="184"/>
      <c r="AJ57" s="184"/>
      <c r="AK57" s="184"/>
      <c r="AL57" s="184"/>
      <c r="AM57" s="184"/>
      <c r="AN57" s="184"/>
      <c r="AO57" s="184"/>
      <c r="AP57" s="184"/>
      <c r="AQ57" s="184"/>
      <c r="AR57" s="184"/>
      <c r="AS57" s="184"/>
      <c r="AT57" s="184"/>
      <c r="AU57" s="184"/>
      <c r="AV57" s="184"/>
      <c r="AW57" s="184"/>
      <c r="AX57" s="184"/>
      <c r="AY57" s="184"/>
    </row>
    <row r="58" spans="1:51" x14ac:dyDescent="0.25">
      <c r="A58" s="216" t="s">
        <v>293</v>
      </c>
      <c r="B58" s="216" t="s">
        <v>179</v>
      </c>
      <c r="C58" s="2" t="s">
        <v>619</v>
      </c>
      <c r="D58" s="270" t="s">
        <v>582</v>
      </c>
      <c r="E58" s="216" t="s">
        <v>292</v>
      </c>
      <c r="F58" s="217">
        <v>8221.42</v>
      </c>
      <c r="G58" s="217">
        <f t="shared" si="5"/>
        <v>98657.040000000008</v>
      </c>
      <c r="H58" s="193" t="s">
        <v>267</v>
      </c>
      <c r="I58" s="194">
        <v>15000</v>
      </c>
      <c r="J58" s="194">
        <v>25681</v>
      </c>
      <c r="K58" s="195">
        <v>30000</v>
      </c>
      <c r="L58" s="196">
        <v>297175.94</v>
      </c>
      <c r="M58" s="197">
        <f t="shared" si="6"/>
        <v>98657.040000000008</v>
      </c>
      <c r="N58" s="198">
        <v>39221.85</v>
      </c>
      <c r="O58" s="199">
        <f t="shared" si="7"/>
        <v>53491.669200000004</v>
      </c>
      <c r="P58" s="200">
        <v>6057.27</v>
      </c>
      <c r="Q58" s="190">
        <v>1838</v>
      </c>
      <c r="R58" s="313" t="s">
        <v>559</v>
      </c>
      <c r="S58" s="252">
        <v>307313.94</v>
      </c>
      <c r="T58" s="184"/>
      <c r="U58" s="184"/>
      <c r="V58" s="184"/>
      <c r="W58" s="184"/>
      <c r="X58" s="184"/>
      <c r="Y58" s="184"/>
      <c r="Z58" s="184"/>
      <c r="AA58" s="184"/>
      <c r="AB58" s="184"/>
      <c r="AC58" s="184"/>
      <c r="AD58" s="184"/>
      <c r="AE58" s="184"/>
      <c r="AF58" s="184"/>
      <c r="AG58" s="184"/>
      <c r="AH58" s="184"/>
      <c r="AI58" s="184"/>
      <c r="AJ58" s="184"/>
      <c r="AK58" s="184"/>
      <c r="AL58" s="184"/>
      <c r="AM58" s="184"/>
      <c r="AN58" s="184"/>
      <c r="AO58" s="184"/>
      <c r="AP58" s="184"/>
      <c r="AQ58" s="184"/>
      <c r="AR58" s="184"/>
      <c r="AS58" s="184"/>
      <c r="AT58" s="184"/>
      <c r="AU58" s="184"/>
      <c r="AV58" s="184"/>
      <c r="AW58" s="184"/>
      <c r="AX58" s="184"/>
      <c r="AY58" s="184"/>
    </row>
    <row r="59" spans="1:51" x14ac:dyDescent="0.25">
      <c r="A59" s="216" t="s">
        <v>294</v>
      </c>
      <c r="B59" s="216" t="s">
        <v>180</v>
      </c>
      <c r="C59" s="2" t="s">
        <v>619</v>
      </c>
      <c r="D59" s="270" t="s">
        <v>283</v>
      </c>
      <c r="E59" s="216" t="s">
        <v>292</v>
      </c>
      <c r="F59" s="217">
        <v>8221.42</v>
      </c>
      <c r="G59" s="217">
        <f t="shared" si="5"/>
        <v>98657.040000000008</v>
      </c>
      <c r="H59" s="193" t="s">
        <v>267</v>
      </c>
      <c r="I59" s="194">
        <v>15000</v>
      </c>
      <c r="J59" s="194">
        <v>23086</v>
      </c>
      <c r="K59" s="195">
        <v>30000</v>
      </c>
      <c r="L59" s="196">
        <v>297175.94</v>
      </c>
      <c r="M59" s="197">
        <f t="shared" si="6"/>
        <v>98657.040000000008</v>
      </c>
      <c r="N59" s="198">
        <v>39221.85</v>
      </c>
      <c r="O59" s="199">
        <f t="shared" si="7"/>
        <v>53491.669200000004</v>
      </c>
      <c r="P59" s="200">
        <v>6057.27</v>
      </c>
      <c r="Q59" s="190">
        <v>1838</v>
      </c>
      <c r="R59" s="313" t="s">
        <v>560</v>
      </c>
      <c r="S59" s="252">
        <v>307313.94</v>
      </c>
      <c r="T59" s="184"/>
      <c r="U59" s="184"/>
      <c r="V59" s="184"/>
      <c r="W59" s="184"/>
      <c r="X59" s="184"/>
      <c r="Y59" s="184"/>
      <c r="Z59" s="184"/>
      <c r="AA59" s="184"/>
      <c r="AB59" s="184"/>
      <c r="AC59" s="184"/>
      <c r="AD59" s="184"/>
      <c r="AE59" s="184"/>
      <c r="AF59" s="184"/>
      <c r="AG59" s="184"/>
      <c r="AH59" s="184"/>
      <c r="AI59" s="184"/>
      <c r="AJ59" s="184"/>
      <c r="AK59" s="184"/>
      <c r="AL59" s="184"/>
      <c r="AM59" s="184"/>
      <c r="AN59" s="184"/>
      <c r="AO59" s="184"/>
      <c r="AP59" s="184"/>
      <c r="AQ59" s="184"/>
      <c r="AR59" s="184"/>
      <c r="AS59" s="184"/>
      <c r="AT59" s="184"/>
      <c r="AU59" s="184"/>
      <c r="AV59" s="184"/>
      <c r="AW59" s="184"/>
      <c r="AX59" s="184"/>
      <c r="AY59" s="184"/>
    </row>
    <row r="60" spans="1:51" x14ac:dyDescent="0.25">
      <c r="A60" s="216" t="s">
        <v>227</v>
      </c>
      <c r="B60" s="216" t="s">
        <v>304</v>
      </c>
      <c r="C60" s="2" t="s">
        <v>619</v>
      </c>
      <c r="D60" s="270" t="s">
        <v>283</v>
      </c>
      <c r="E60" s="216" t="s">
        <v>292</v>
      </c>
      <c r="F60" s="217">
        <v>8221.42</v>
      </c>
      <c r="G60" s="217">
        <f t="shared" si="5"/>
        <v>98657.040000000008</v>
      </c>
      <c r="H60" s="193" t="s">
        <v>267</v>
      </c>
      <c r="I60" s="194">
        <v>3000</v>
      </c>
      <c r="J60" s="194">
        <v>1646</v>
      </c>
      <c r="K60" s="195">
        <v>5000</v>
      </c>
      <c r="L60" s="196">
        <v>297175.94</v>
      </c>
      <c r="M60" s="197">
        <f t="shared" si="6"/>
        <v>98657.040000000008</v>
      </c>
      <c r="N60" s="198">
        <v>39221.85</v>
      </c>
      <c r="O60" s="199">
        <f t="shared" si="7"/>
        <v>53491.669200000004</v>
      </c>
      <c r="P60" s="200">
        <v>6057.27</v>
      </c>
      <c r="Q60" s="190">
        <v>1838</v>
      </c>
      <c r="R60" s="313" t="s">
        <v>561</v>
      </c>
      <c r="S60" s="252">
        <v>307313.94</v>
      </c>
      <c r="T60" s="184"/>
      <c r="U60" s="184"/>
      <c r="V60" s="184"/>
      <c r="W60" s="184"/>
      <c r="X60" s="184"/>
      <c r="Y60" s="184"/>
      <c r="Z60" s="184"/>
      <c r="AA60" s="184"/>
      <c r="AB60" s="184"/>
      <c r="AC60" s="184"/>
      <c r="AD60" s="184"/>
      <c r="AE60" s="184"/>
      <c r="AF60" s="184"/>
      <c r="AG60" s="184"/>
      <c r="AH60" s="184"/>
      <c r="AI60" s="184"/>
      <c r="AJ60" s="184"/>
      <c r="AK60" s="184"/>
      <c r="AL60" s="184"/>
      <c r="AM60" s="184"/>
      <c r="AN60" s="184"/>
      <c r="AO60" s="184"/>
      <c r="AP60" s="184"/>
      <c r="AQ60" s="184"/>
      <c r="AR60" s="184"/>
      <c r="AS60" s="184"/>
      <c r="AT60" s="184"/>
      <c r="AU60" s="184"/>
      <c r="AV60" s="184"/>
      <c r="AW60" s="184"/>
      <c r="AX60" s="184"/>
      <c r="AY60" s="184"/>
    </row>
    <row r="61" spans="1:51" x14ac:dyDescent="0.25">
      <c r="A61" s="216" t="s">
        <v>305</v>
      </c>
      <c r="B61" s="216" t="s">
        <v>306</v>
      </c>
      <c r="C61" s="2" t="s">
        <v>615</v>
      </c>
      <c r="D61" s="270" t="s">
        <v>41</v>
      </c>
      <c r="E61" s="216" t="s">
        <v>292</v>
      </c>
      <c r="F61" s="217">
        <v>8221.42</v>
      </c>
      <c r="G61" s="217">
        <f t="shared" si="5"/>
        <v>98657.040000000008</v>
      </c>
      <c r="H61" s="193" t="s">
        <v>267</v>
      </c>
      <c r="I61" s="194">
        <v>10000</v>
      </c>
      <c r="J61" s="194">
        <v>12980</v>
      </c>
      <c r="K61" s="195">
        <v>15000</v>
      </c>
      <c r="L61" s="196">
        <v>297175.94</v>
      </c>
      <c r="M61" s="197">
        <f t="shared" si="6"/>
        <v>98657.040000000008</v>
      </c>
      <c r="N61" s="198">
        <v>39221.85</v>
      </c>
      <c r="O61" s="199">
        <f t="shared" si="7"/>
        <v>53491.669200000004</v>
      </c>
      <c r="P61" s="200">
        <v>6057.27</v>
      </c>
      <c r="Q61" s="190">
        <v>1838</v>
      </c>
      <c r="R61" s="313" t="s">
        <v>562</v>
      </c>
      <c r="S61" s="252">
        <v>307313.94</v>
      </c>
      <c r="T61" s="184"/>
      <c r="U61" s="184"/>
      <c r="V61" s="184"/>
      <c r="W61" s="184"/>
      <c r="X61" s="184"/>
      <c r="Y61" s="184"/>
      <c r="Z61" s="184"/>
      <c r="AA61" s="184"/>
      <c r="AB61" s="184"/>
      <c r="AC61" s="184"/>
      <c r="AD61" s="184"/>
      <c r="AE61" s="184"/>
      <c r="AF61" s="184"/>
      <c r="AG61" s="184"/>
      <c r="AH61" s="184"/>
      <c r="AI61" s="184"/>
      <c r="AJ61" s="184"/>
      <c r="AK61" s="184"/>
      <c r="AL61" s="184"/>
      <c r="AM61" s="184"/>
      <c r="AN61" s="184"/>
      <c r="AO61" s="184"/>
      <c r="AP61" s="184"/>
      <c r="AQ61" s="184"/>
      <c r="AR61" s="184"/>
      <c r="AS61" s="184"/>
      <c r="AT61" s="184"/>
      <c r="AU61" s="184"/>
      <c r="AV61" s="184"/>
      <c r="AW61" s="184"/>
      <c r="AX61" s="184"/>
      <c r="AY61" s="184"/>
    </row>
    <row r="62" spans="1:51" x14ac:dyDescent="0.25">
      <c r="A62" s="216" t="s">
        <v>228</v>
      </c>
      <c r="B62" s="216" t="s">
        <v>307</v>
      </c>
      <c r="C62" s="2" t="s">
        <v>600</v>
      </c>
      <c r="D62" s="270" t="s">
        <v>39</v>
      </c>
      <c r="E62" s="216" t="s">
        <v>292</v>
      </c>
      <c r="F62" s="217">
        <v>8221.42</v>
      </c>
      <c r="G62" s="217">
        <f t="shared" si="5"/>
        <v>98657.040000000008</v>
      </c>
      <c r="H62" s="193" t="s">
        <v>267</v>
      </c>
      <c r="I62" s="194">
        <v>12000</v>
      </c>
      <c r="J62" s="194">
        <v>8992</v>
      </c>
      <c r="K62" s="195">
        <v>10000</v>
      </c>
      <c r="L62" s="196">
        <v>297175.94</v>
      </c>
      <c r="M62" s="197">
        <f t="shared" si="6"/>
        <v>98657.040000000008</v>
      </c>
      <c r="N62" s="198">
        <v>39221.85</v>
      </c>
      <c r="O62" s="199">
        <f t="shared" si="7"/>
        <v>53491.669200000004</v>
      </c>
      <c r="P62" s="200">
        <v>6057.27</v>
      </c>
      <c r="Q62" s="190">
        <v>1838</v>
      </c>
      <c r="R62" s="313" t="s">
        <v>563</v>
      </c>
      <c r="S62" s="252">
        <v>307313.94</v>
      </c>
      <c r="T62" s="184"/>
      <c r="U62" s="184"/>
      <c r="V62" s="184"/>
      <c r="W62" s="184"/>
      <c r="X62" s="184"/>
      <c r="Y62" s="184"/>
      <c r="Z62" s="184"/>
      <c r="AA62" s="184"/>
      <c r="AB62" s="184"/>
      <c r="AC62" s="184"/>
      <c r="AD62" s="184"/>
      <c r="AE62" s="184"/>
      <c r="AF62" s="184"/>
      <c r="AG62" s="184"/>
      <c r="AH62" s="184"/>
      <c r="AI62" s="184"/>
      <c r="AJ62" s="184"/>
      <c r="AK62" s="184"/>
      <c r="AL62" s="184"/>
      <c r="AM62" s="184"/>
      <c r="AN62" s="184"/>
      <c r="AO62" s="184"/>
      <c r="AP62" s="184"/>
      <c r="AQ62" s="184"/>
      <c r="AR62" s="184"/>
      <c r="AS62" s="184"/>
      <c r="AT62" s="184"/>
      <c r="AU62" s="184"/>
      <c r="AV62" s="184"/>
      <c r="AW62" s="184"/>
      <c r="AX62" s="184"/>
      <c r="AY62" s="184"/>
    </row>
    <row r="63" spans="1:51" x14ac:dyDescent="0.25">
      <c r="A63" s="216" t="s">
        <v>229</v>
      </c>
      <c r="B63" s="216" t="s">
        <v>308</v>
      </c>
      <c r="C63" s="2" t="s">
        <v>609</v>
      </c>
      <c r="D63" s="269" t="s">
        <v>92</v>
      </c>
      <c r="E63" s="216" t="s">
        <v>292</v>
      </c>
      <c r="F63" s="217">
        <v>8221.42</v>
      </c>
      <c r="G63" s="217">
        <f t="shared" si="5"/>
        <v>98657.040000000008</v>
      </c>
      <c r="H63" s="193" t="s">
        <v>267</v>
      </c>
      <c r="I63" s="194">
        <v>2500</v>
      </c>
      <c r="J63" s="194">
        <v>11347</v>
      </c>
      <c r="K63" s="195">
        <v>15000</v>
      </c>
      <c r="L63" s="196">
        <v>297175.94</v>
      </c>
      <c r="M63" s="197">
        <f t="shared" si="6"/>
        <v>98657.040000000008</v>
      </c>
      <c r="N63" s="198">
        <v>39221.85</v>
      </c>
      <c r="O63" s="199">
        <f t="shared" si="7"/>
        <v>53491.669200000004</v>
      </c>
      <c r="P63" s="200">
        <v>6057.27</v>
      </c>
      <c r="Q63" s="190">
        <v>1838</v>
      </c>
      <c r="R63" s="313" t="s">
        <v>564</v>
      </c>
      <c r="S63" s="252">
        <v>307313.94</v>
      </c>
      <c r="T63" s="184"/>
      <c r="U63" s="184"/>
      <c r="V63" s="184"/>
      <c r="W63" s="184"/>
      <c r="X63" s="184"/>
      <c r="Y63" s="184"/>
      <c r="Z63" s="184"/>
      <c r="AA63" s="184"/>
      <c r="AB63" s="184"/>
      <c r="AC63" s="184"/>
      <c r="AD63" s="184"/>
      <c r="AE63" s="184"/>
      <c r="AF63" s="184"/>
      <c r="AG63" s="184"/>
      <c r="AH63" s="184"/>
      <c r="AI63" s="184"/>
      <c r="AJ63" s="184"/>
      <c r="AK63" s="184"/>
      <c r="AL63" s="184"/>
      <c r="AM63" s="184"/>
      <c r="AN63" s="184"/>
      <c r="AO63" s="184"/>
      <c r="AP63" s="184"/>
      <c r="AQ63" s="184"/>
      <c r="AR63" s="184"/>
      <c r="AS63" s="184"/>
      <c r="AT63" s="184"/>
      <c r="AU63" s="184"/>
      <c r="AV63" s="184"/>
      <c r="AW63" s="184"/>
      <c r="AX63" s="184"/>
      <c r="AY63" s="184"/>
    </row>
    <row r="64" spans="1:51" x14ac:dyDescent="0.25">
      <c r="A64" s="216" t="s">
        <v>230</v>
      </c>
      <c r="B64" s="216" t="s">
        <v>309</v>
      </c>
      <c r="C64" s="2" t="s">
        <v>619</v>
      </c>
      <c r="D64" s="269" t="s">
        <v>283</v>
      </c>
      <c r="E64" s="216" t="s">
        <v>292</v>
      </c>
      <c r="F64" s="217">
        <v>8221.42</v>
      </c>
      <c r="G64" s="217">
        <f t="shared" si="5"/>
        <v>98657.040000000008</v>
      </c>
      <c r="H64" s="193" t="s">
        <v>267</v>
      </c>
      <c r="I64" s="194">
        <v>10000</v>
      </c>
      <c r="J64" s="194">
        <v>5660</v>
      </c>
      <c r="K64" s="195">
        <v>10000</v>
      </c>
      <c r="L64" s="196">
        <v>297175.94</v>
      </c>
      <c r="M64" s="197">
        <f t="shared" si="6"/>
        <v>98657.040000000008</v>
      </c>
      <c r="N64" s="198">
        <v>39221.85</v>
      </c>
      <c r="O64" s="199">
        <f t="shared" si="7"/>
        <v>53491.669200000004</v>
      </c>
      <c r="P64" s="200">
        <v>6057.27</v>
      </c>
      <c r="Q64" s="190">
        <v>1838</v>
      </c>
      <c r="R64" s="316" t="s">
        <v>1424</v>
      </c>
      <c r="S64" s="253">
        <v>307313.94</v>
      </c>
      <c r="T64" s="184"/>
      <c r="U64" s="184"/>
      <c r="V64" s="184"/>
      <c r="W64" s="184"/>
      <c r="X64" s="184"/>
      <c r="Y64" s="184"/>
      <c r="Z64" s="184"/>
      <c r="AA64" s="184"/>
      <c r="AB64" s="184"/>
      <c r="AC64" s="184"/>
      <c r="AD64" s="184"/>
      <c r="AE64" s="184"/>
      <c r="AF64" s="184"/>
      <c r="AG64" s="184"/>
      <c r="AH64" s="184"/>
      <c r="AI64" s="184"/>
      <c r="AJ64" s="184"/>
      <c r="AK64" s="184"/>
      <c r="AL64" s="184"/>
      <c r="AM64" s="184"/>
      <c r="AN64" s="184"/>
      <c r="AO64" s="184"/>
      <c r="AP64" s="184"/>
      <c r="AQ64" s="184"/>
      <c r="AR64" s="184"/>
      <c r="AS64" s="184"/>
      <c r="AT64" s="184"/>
      <c r="AU64" s="184"/>
      <c r="AV64" s="184"/>
      <c r="AW64" s="184"/>
      <c r="AX64" s="184"/>
      <c r="AY64" s="184"/>
    </row>
    <row r="65" spans="1:51" x14ac:dyDescent="0.25">
      <c r="A65" s="216" t="s">
        <v>316</v>
      </c>
      <c r="B65" s="216" t="s">
        <v>317</v>
      </c>
      <c r="C65" s="2" t="s">
        <v>609</v>
      </c>
      <c r="D65" s="270" t="s">
        <v>92</v>
      </c>
      <c r="E65" s="216" t="s">
        <v>292</v>
      </c>
      <c r="F65" s="217">
        <v>8221.42</v>
      </c>
      <c r="G65" s="217">
        <f t="shared" si="5"/>
        <v>98657.040000000008</v>
      </c>
      <c r="H65" s="193" t="s">
        <v>267</v>
      </c>
      <c r="I65" s="194">
        <v>12000</v>
      </c>
      <c r="J65" s="194">
        <v>7306</v>
      </c>
      <c r="K65" s="195">
        <v>10000</v>
      </c>
      <c r="L65" s="196">
        <v>297175.94</v>
      </c>
      <c r="M65" s="197">
        <f t="shared" si="6"/>
        <v>98657.040000000008</v>
      </c>
      <c r="N65" s="198">
        <v>39221.85</v>
      </c>
      <c r="O65" s="199">
        <f t="shared" si="7"/>
        <v>53491.669200000004</v>
      </c>
      <c r="P65" s="200">
        <v>6057.27</v>
      </c>
      <c r="Q65" s="190">
        <v>1838</v>
      </c>
      <c r="R65" s="313" t="s">
        <v>565</v>
      </c>
      <c r="S65" s="252">
        <v>307313.94</v>
      </c>
      <c r="T65" s="184"/>
      <c r="U65" s="184"/>
      <c r="V65" s="184"/>
      <c r="W65" s="184"/>
      <c r="X65" s="184"/>
      <c r="Y65" s="184"/>
      <c r="Z65" s="184"/>
      <c r="AA65" s="184"/>
      <c r="AB65" s="184"/>
      <c r="AC65" s="184"/>
      <c r="AD65" s="184"/>
      <c r="AE65" s="184"/>
      <c r="AF65" s="184"/>
      <c r="AG65" s="184"/>
      <c r="AH65" s="184"/>
      <c r="AI65" s="184"/>
      <c r="AJ65" s="184"/>
      <c r="AK65" s="184"/>
      <c r="AL65" s="184"/>
      <c r="AM65" s="184"/>
      <c r="AN65" s="184"/>
      <c r="AO65" s="184"/>
      <c r="AP65" s="184"/>
      <c r="AQ65" s="184"/>
      <c r="AR65" s="184"/>
      <c r="AS65" s="184"/>
      <c r="AT65" s="184"/>
      <c r="AU65" s="184"/>
      <c r="AV65" s="184"/>
      <c r="AW65" s="184"/>
      <c r="AX65" s="184"/>
      <c r="AY65" s="184"/>
    </row>
    <row r="66" spans="1:51" x14ac:dyDescent="0.25">
      <c r="A66" s="216" t="s">
        <v>318</v>
      </c>
      <c r="B66" s="216" t="s">
        <v>319</v>
      </c>
      <c r="C66" s="2" t="s">
        <v>615</v>
      </c>
      <c r="D66" s="268" t="s">
        <v>41</v>
      </c>
      <c r="E66" s="216" t="s">
        <v>292</v>
      </c>
      <c r="F66" s="217">
        <v>8221.42</v>
      </c>
      <c r="G66" s="217">
        <f t="shared" ref="G66:G89" si="8">+F66*12</f>
        <v>98657.040000000008</v>
      </c>
      <c r="H66" s="193" t="s">
        <v>267</v>
      </c>
      <c r="I66" s="194">
        <v>9000</v>
      </c>
      <c r="J66" s="194">
        <v>7542</v>
      </c>
      <c r="K66" s="195">
        <v>10000</v>
      </c>
      <c r="L66" s="196">
        <v>297175.94</v>
      </c>
      <c r="M66" s="197">
        <f t="shared" ref="M66:M89" si="9">+F66*12</f>
        <v>98657.040000000008</v>
      </c>
      <c r="N66" s="198">
        <v>39221.85</v>
      </c>
      <c r="O66" s="199">
        <f t="shared" ref="O66:O100" si="10">+L66*0.9/5</f>
        <v>53491.669200000004</v>
      </c>
      <c r="P66" s="200">
        <v>6057.27</v>
      </c>
      <c r="Q66" s="190">
        <v>1838</v>
      </c>
      <c r="R66" s="313" t="s">
        <v>566</v>
      </c>
      <c r="S66" s="252">
        <v>307313.94</v>
      </c>
      <c r="T66" s="184"/>
      <c r="U66" s="184"/>
      <c r="V66" s="184"/>
      <c r="W66" s="184"/>
      <c r="X66" s="184"/>
      <c r="Y66" s="184"/>
      <c r="Z66" s="184"/>
      <c r="AA66" s="184"/>
      <c r="AB66" s="184"/>
      <c r="AC66" s="184"/>
      <c r="AD66" s="184"/>
      <c r="AE66" s="184"/>
      <c r="AF66" s="184"/>
      <c r="AG66" s="184"/>
      <c r="AH66" s="184"/>
      <c r="AI66" s="184"/>
      <c r="AJ66" s="184"/>
      <c r="AK66" s="184"/>
      <c r="AL66" s="184"/>
      <c r="AM66" s="184"/>
      <c r="AN66" s="184"/>
      <c r="AO66" s="184"/>
      <c r="AP66" s="184"/>
      <c r="AQ66" s="184"/>
      <c r="AR66" s="184"/>
      <c r="AS66" s="184"/>
      <c r="AT66" s="184"/>
      <c r="AU66" s="184"/>
      <c r="AV66" s="184"/>
      <c r="AW66" s="184"/>
      <c r="AX66" s="184"/>
      <c r="AY66" s="184"/>
    </row>
    <row r="67" spans="1:51" x14ac:dyDescent="0.25">
      <c r="A67" s="216" t="s">
        <v>320</v>
      </c>
      <c r="B67" s="216" t="s">
        <v>321</v>
      </c>
      <c r="C67" s="2" t="s">
        <v>619</v>
      </c>
      <c r="D67" s="271" t="s">
        <v>283</v>
      </c>
      <c r="E67" s="216" t="s">
        <v>292</v>
      </c>
      <c r="F67" s="217">
        <v>8221.42</v>
      </c>
      <c r="G67" s="217">
        <f t="shared" si="8"/>
        <v>98657.040000000008</v>
      </c>
      <c r="H67" s="193" t="s">
        <v>267</v>
      </c>
      <c r="I67" s="194">
        <v>15000</v>
      </c>
      <c r="J67" s="194">
        <v>0</v>
      </c>
      <c r="K67" s="195">
        <v>15000</v>
      </c>
      <c r="L67" s="196">
        <v>297175.94</v>
      </c>
      <c r="M67" s="197">
        <f t="shared" si="9"/>
        <v>98657.040000000008</v>
      </c>
      <c r="N67" s="198">
        <v>39221.85</v>
      </c>
      <c r="O67" s="199">
        <f t="shared" si="10"/>
        <v>53491.669200000004</v>
      </c>
      <c r="P67" s="200">
        <v>6057.27</v>
      </c>
      <c r="Q67" s="190">
        <v>1838</v>
      </c>
      <c r="R67" s="313" t="s">
        <v>567</v>
      </c>
      <c r="S67" s="252">
        <v>307313.94</v>
      </c>
      <c r="T67" s="184"/>
      <c r="U67" s="184"/>
      <c r="V67" s="184"/>
      <c r="W67" s="184"/>
      <c r="X67" s="184"/>
      <c r="Y67" s="184"/>
      <c r="Z67" s="184"/>
      <c r="AA67" s="184"/>
      <c r="AB67" s="184"/>
      <c r="AC67" s="184"/>
      <c r="AD67" s="184"/>
      <c r="AE67" s="184"/>
      <c r="AF67" s="184"/>
      <c r="AG67" s="184"/>
      <c r="AH67" s="184"/>
      <c r="AI67" s="184"/>
      <c r="AJ67" s="184"/>
      <c r="AK67" s="184"/>
      <c r="AL67" s="184"/>
      <c r="AM67" s="184"/>
      <c r="AN67" s="184"/>
      <c r="AO67" s="184"/>
      <c r="AP67" s="184"/>
      <c r="AQ67" s="184"/>
      <c r="AR67" s="184"/>
      <c r="AS67" s="184"/>
      <c r="AT67" s="184"/>
      <c r="AU67" s="184"/>
      <c r="AV67" s="184"/>
      <c r="AW67" s="184"/>
      <c r="AX67" s="184"/>
      <c r="AY67" s="184"/>
    </row>
    <row r="68" spans="1:51" x14ac:dyDescent="0.25">
      <c r="A68" s="216" t="s">
        <v>322</v>
      </c>
      <c r="B68" s="216" t="s">
        <v>323</v>
      </c>
      <c r="C68" s="2" t="s">
        <v>600</v>
      </c>
      <c r="D68" s="272" t="s">
        <v>39</v>
      </c>
      <c r="E68" s="216" t="s">
        <v>292</v>
      </c>
      <c r="F68" s="217">
        <v>8221.42</v>
      </c>
      <c r="G68" s="217">
        <f t="shared" si="8"/>
        <v>98657.040000000008</v>
      </c>
      <c r="H68" s="193" t="s">
        <v>267</v>
      </c>
      <c r="I68" s="194">
        <v>25000</v>
      </c>
      <c r="J68" s="194">
        <v>16190</v>
      </c>
      <c r="K68" s="195">
        <v>20000</v>
      </c>
      <c r="L68" s="196">
        <v>297175.94</v>
      </c>
      <c r="M68" s="197">
        <f t="shared" si="9"/>
        <v>98657.040000000008</v>
      </c>
      <c r="N68" s="198">
        <v>39221.85</v>
      </c>
      <c r="O68" s="199">
        <f t="shared" si="10"/>
        <v>53491.669200000004</v>
      </c>
      <c r="P68" s="200">
        <v>6057.27</v>
      </c>
      <c r="Q68" s="190">
        <v>1838</v>
      </c>
      <c r="R68" s="313" t="s">
        <v>1425</v>
      </c>
      <c r="S68" s="252">
        <v>307313.94</v>
      </c>
      <c r="T68" s="184"/>
      <c r="U68" s="184"/>
      <c r="V68" s="184"/>
      <c r="W68" s="184"/>
      <c r="X68" s="184"/>
      <c r="Y68" s="184"/>
      <c r="Z68" s="184"/>
      <c r="AA68" s="184"/>
      <c r="AB68" s="184"/>
      <c r="AC68" s="184"/>
      <c r="AD68" s="184"/>
      <c r="AE68" s="184"/>
      <c r="AF68" s="184"/>
      <c r="AG68" s="184"/>
      <c r="AH68" s="184"/>
      <c r="AI68" s="184"/>
      <c r="AJ68" s="184"/>
      <c r="AK68" s="184"/>
      <c r="AL68" s="184"/>
      <c r="AM68" s="184"/>
      <c r="AN68" s="184"/>
      <c r="AO68" s="184"/>
      <c r="AP68" s="184"/>
      <c r="AQ68" s="184"/>
      <c r="AR68" s="184"/>
      <c r="AS68" s="184"/>
      <c r="AT68" s="184"/>
      <c r="AU68" s="184"/>
      <c r="AV68" s="184"/>
      <c r="AW68" s="184"/>
      <c r="AX68" s="184"/>
      <c r="AY68" s="184"/>
    </row>
    <row r="69" spans="1:51" x14ac:dyDescent="0.25">
      <c r="A69" s="216" t="s">
        <v>330</v>
      </c>
      <c r="B69" s="216" t="s">
        <v>331</v>
      </c>
      <c r="C69" s="2" t="s">
        <v>613</v>
      </c>
      <c r="D69" s="269" t="s">
        <v>40</v>
      </c>
      <c r="E69" s="216" t="s">
        <v>292</v>
      </c>
      <c r="F69" s="217">
        <v>8221.42</v>
      </c>
      <c r="G69" s="217">
        <f t="shared" si="8"/>
        <v>98657.040000000008</v>
      </c>
      <c r="H69" s="193" t="s">
        <v>267</v>
      </c>
      <c r="I69" s="194">
        <v>5000</v>
      </c>
      <c r="J69" s="194">
        <v>3477</v>
      </c>
      <c r="K69" s="195">
        <v>8000</v>
      </c>
      <c r="L69" s="196">
        <v>297175.94</v>
      </c>
      <c r="M69" s="197">
        <f t="shared" si="9"/>
        <v>98657.040000000008</v>
      </c>
      <c r="N69" s="198">
        <v>39221.85</v>
      </c>
      <c r="O69" s="199">
        <f t="shared" si="10"/>
        <v>53491.669200000004</v>
      </c>
      <c r="P69" s="200">
        <v>6057.27</v>
      </c>
      <c r="Q69" s="190">
        <v>1838</v>
      </c>
      <c r="R69" s="313" t="s">
        <v>568</v>
      </c>
      <c r="S69" s="252">
        <v>307313.94</v>
      </c>
      <c r="T69" s="184"/>
      <c r="U69" s="184"/>
      <c r="V69" s="184"/>
      <c r="W69" s="184"/>
      <c r="X69" s="184"/>
      <c r="Y69" s="184"/>
      <c r="Z69" s="184"/>
      <c r="AA69" s="184"/>
      <c r="AB69" s="184"/>
      <c r="AC69" s="184"/>
      <c r="AD69" s="184"/>
      <c r="AE69" s="184"/>
      <c r="AF69" s="184"/>
      <c r="AG69" s="184"/>
      <c r="AH69" s="184"/>
      <c r="AI69" s="184"/>
      <c r="AJ69" s="184"/>
      <c r="AK69" s="184"/>
      <c r="AL69" s="184"/>
      <c r="AM69" s="184"/>
      <c r="AN69" s="184"/>
      <c r="AO69" s="184"/>
      <c r="AP69" s="184"/>
      <c r="AQ69" s="184"/>
      <c r="AR69" s="184"/>
      <c r="AS69" s="184"/>
      <c r="AT69" s="184"/>
      <c r="AU69" s="184"/>
      <c r="AV69" s="184"/>
      <c r="AW69" s="184"/>
      <c r="AX69" s="184"/>
      <c r="AY69" s="184"/>
    </row>
    <row r="70" spans="1:51" x14ac:dyDescent="0.25">
      <c r="A70" s="216" t="s">
        <v>336</v>
      </c>
      <c r="B70" s="216" t="s">
        <v>337</v>
      </c>
      <c r="C70" s="2" t="s">
        <v>600</v>
      </c>
      <c r="D70" s="269" t="s">
        <v>39</v>
      </c>
      <c r="E70" s="216" t="s">
        <v>292</v>
      </c>
      <c r="F70" s="217">
        <v>8221.42</v>
      </c>
      <c r="G70" s="217">
        <f t="shared" si="8"/>
        <v>98657.040000000008</v>
      </c>
      <c r="H70" s="193" t="s">
        <v>267</v>
      </c>
      <c r="I70" s="194">
        <v>6000</v>
      </c>
      <c r="J70" s="194">
        <v>10546</v>
      </c>
      <c r="K70" s="195">
        <v>15000</v>
      </c>
      <c r="L70" s="196">
        <v>297175.94</v>
      </c>
      <c r="M70" s="197">
        <f t="shared" si="9"/>
        <v>98657.040000000008</v>
      </c>
      <c r="N70" s="198">
        <v>39221.85</v>
      </c>
      <c r="O70" s="199">
        <f t="shared" si="10"/>
        <v>53491.669200000004</v>
      </c>
      <c r="P70" s="200">
        <v>6057.27</v>
      </c>
      <c r="Q70" s="190">
        <v>1838</v>
      </c>
      <c r="R70" s="313" t="s">
        <v>569</v>
      </c>
      <c r="S70" s="252">
        <v>307313.94</v>
      </c>
      <c r="T70" s="184"/>
      <c r="U70" s="184"/>
      <c r="V70" s="184"/>
      <c r="W70" s="184"/>
      <c r="X70" s="184"/>
      <c r="Y70" s="184"/>
      <c r="Z70" s="184"/>
      <c r="AA70" s="184"/>
      <c r="AB70" s="184"/>
      <c r="AC70" s="184"/>
      <c r="AD70" s="184"/>
      <c r="AE70" s="184"/>
      <c r="AF70" s="184"/>
      <c r="AG70" s="184"/>
      <c r="AH70" s="184"/>
      <c r="AI70" s="184"/>
      <c r="AJ70" s="184"/>
      <c r="AK70" s="184"/>
      <c r="AL70" s="184"/>
      <c r="AM70" s="184"/>
      <c r="AN70" s="184"/>
      <c r="AO70" s="184"/>
      <c r="AP70" s="184"/>
      <c r="AQ70" s="184"/>
      <c r="AR70" s="184"/>
      <c r="AS70" s="184"/>
      <c r="AT70" s="184"/>
      <c r="AU70" s="184"/>
      <c r="AV70" s="184"/>
      <c r="AW70" s="184"/>
      <c r="AX70" s="184"/>
      <c r="AY70" s="184"/>
    </row>
    <row r="71" spans="1:51" x14ac:dyDescent="0.25">
      <c r="A71" s="216" t="s">
        <v>398</v>
      </c>
      <c r="B71" s="216" t="s">
        <v>397</v>
      </c>
      <c r="C71" s="2" t="s">
        <v>619</v>
      </c>
      <c r="D71" s="272" t="s">
        <v>283</v>
      </c>
      <c r="E71" s="216" t="s">
        <v>292</v>
      </c>
      <c r="F71" s="217">
        <v>8221.42</v>
      </c>
      <c r="G71" s="217">
        <f t="shared" si="8"/>
        <v>98657.040000000008</v>
      </c>
      <c r="H71" s="193" t="s">
        <v>267</v>
      </c>
      <c r="I71" s="194">
        <v>20000</v>
      </c>
      <c r="J71" s="194">
        <v>0</v>
      </c>
      <c r="K71" s="195">
        <v>20000</v>
      </c>
      <c r="L71" s="196">
        <v>297175.94</v>
      </c>
      <c r="M71" s="197">
        <f t="shared" si="9"/>
        <v>98657.040000000008</v>
      </c>
      <c r="N71" s="198">
        <v>39221.85</v>
      </c>
      <c r="O71" s="199">
        <f t="shared" si="10"/>
        <v>53491.669200000004</v>
      </c>
      <c r="P71" s="200">
        <v>6057.27</v>
      </c>
      <c r="Q71" s="190">
        <v>1838</v>
      </c>
      <c r="R71" s="313" t="s">
        <v>641</v>
      </c>
      <c r="S71" s="252">
        <v>307313.94</v>
      </c>
      <c r="T71" s="184"/>
      <c r="U71" s="184"/>
      <c r="V71" s="184"/>
      <c r="W71" s="184"/>
      <c r="X71" s="184"/>
      <c r="Y71" s="184"/>
      <c r="Z71" s="184"/>
      <c r="AA71" s="184"/>
      <c r="AB71" s="184"/>
      <c r="AC71" s="184"/>
      <c r="AD71" s="184"/>
      <c r="AE71" s="184"/>
      <c r="AF71" s="184"/>
      <c r="AG71" s="184"/>
      <c r="AH71" s="184"/>
      <c r="AI71" s="184"/>
      <c r="AJ71" s="184"/>
      <c r="AK71" s="184"/>
      <c r="AL71" s="184"/>
      <c r="AM71" s="184"/>
      <c r="AN71" s="184"/>
      <c r="AO71" s="184"/>
      <c r="AP71" s="184"/>
      <c r="AQ71" s="184"/>
      <c r="AR71" s="184"/>
      <c r="AS71" s="184"/>
      <c r="AT71" s="184"/>
      <c r="AU71" s="184"/>
      <c r="AV71" s="184"/>
      <c r="AW71" s="184"/>
      <c r="AX71" s="184"/>
      <c r="AY71" s="184"/>
    </row>
    <row r="72" spans="1:51" x14ac:dyDescent="0.25">
      <c r="A72" s="216" t="s">
        <v>399</v>
      </c>
      <c r="B72" s="216" t="s">
        <v>397</v>
      </c>
      <c r="C72" s="2" t="s">
        <v>619</v>
      </c>
      <c r="D72" s="272" t="s">
        <v>283</v>
      </c>
      <c r="E72" s="216" t="s">
        <v>292</v>
      </c>
      <c r="F72" s="217">
        <v>8221.42</v>
      </c>
      <c r="G72" s="217">
        <f t="shared" si="8"/>
        <v>98657.040000000008</v>
      </c>
      <c r="H72" s="193" t="s">
        <v>267</v>
      </c>
      <c r="I72" s="194">
        <v>20000</v>
      </c>
      <c r="J72" s="194">
        <v>0</v>
      </c>
      <c r="K72" s="195">
        <v>20000</v>
      </c>
      <c r="L72" s="196">
        <v>297175.94</v>
      </c>
      <c r="M72" s="197">
        <f t="shared" si="9"/>
        <v>98657.040000000008</v>
      </c>
      <c r="N72" s="198">
        <v>39221.85</v>
      </c>
      <c r="O72" s="199">
        <f t="shared" si="10"/>
        <v>53491.669200000004</v>
      </c>
      <c r="P72" s="200">
        <v>6057.27</v>
      </c>
      <c r="Q72" s="190">
        <v>1838</v>
      </c>
      <c r="R72" s="313" t="s">
        <v>1426</v>
      </c>
      <c r="S72" s="252">
        <v>307313.94</v>
      </c>
      <c r="T72" s="184"/>
      <c r="U72" s="184"/>
      <c r="V72" s="184"/>
      <c r="W72" s="184"/>
      <c r="X72" s="184"/>
      <c r="Y72" s="184"/>
      <c r="Z72" s="184"/>
      <c r="AA72" s="184"/>
      <c r="AB72" s="184"/>
      <c r="AC72" s="184"/>
      <c r="AD72" s="184"/>
      <c r="AE72" s="184"/>
      <c r="AF72" s="184"/>
      <c r="AG72" s="184"/>
      <c r="AH72" s="184"/>
      <c r="AI72" s="184"/>
      <c r="AJ72" s="184"/>
      <c r="AK72" s="184"/>
      <c r="AL72" s="184"/>
      <c r="AM72" s="184"/>
      <c r="AN72" s="184"/>
      <c r="AO72" s="184"/>
      <c r="AP72" s="184"/>
      <c r="AQ72" s="184"/>
      <c r="AR72" s="184"/>
      <c r="AS72" s="184"/>
      <c r="AT72" s="184"/>
      <c r="AU72" s="184"/>
      <c r="AV72" s="184"/>
      <c r="AW72" s="184"/>
      <c r="AX72" s="184"/>
      <c r="AY72" s="184"/>
    </row>
    <row r="73" spans="1:51" x14ac:dyDescent="0.25">
      <c r="A73" s="216" t="s">
        <v>400</v>
      </c>
      <c r="B73" s="216" t="s">
        <v>397</v>
      </c>
      <c r="C73" s="2" t="s">
        <v>619</v>
      </c>
      <c r="D73" s="272" t="s">
        <v>283</v>
      </c>
      <c r="E73" s="216" t="s">
        <v>292</v>
      </c>
      <c r="F73" s="217">
        <v>8221.42</v>
      </c>
      <c r="G73" s="217">
        <f t="shared" si="8"/>
        <v>98657.040000000008</v>
      </c>
      <c r="H73" s="193" t="s">
        <v>267</v>
      </c>
      <c r="I73" s="194">
        <v>20000</v>
      </c>
      <c r="J73" s="194">
        <v>0</v>
      </c>
      <c r="K73" s="195">
        <v>20000</v>
      </c>
      <c r="L73" s="196">
        <v>297175.94</v>
      </c>
      <c r="M73" s="197">
        <f t="shared" si="9"/>
        <v>98657.040000000008</v>
      </c>
      <c r="N73" s="198">
        <v>39221.85</v>
      </c>
      <c r="O73" s="199">
        <f t="shared" si="10"/>
        <v>53491.669200000004</v>
      </c>
      <c r="P73" s="200">
        <v>6057.27</v>
      </c>
      <c r="Q73" s="190">
        <v>1838</v>
      </c>
      <c r="R73" s="313" t="s">
        <v>1427</v>
      </c>
      <c r="S73" s="252">
        <v>307313.94</v>
      </c>
      <c r="T73" s="184"/>
      <c r="U73" s="184"/>
      <c r="V73" s="184"/>
      <c r="W73" s="184"/>
      <c r="X73" s="184"/>
      <c r="Y73" s="184"/>
      <c r="Z73" s="184"/>
      <c r="AA73" s="184"/>
      <c r="AB73" s="184"/>
      <c r="AC73" s="184"/>
      <c r="AD73" s="184"/>
      <c r="AE73" s="184"/>
      <c r="AF73" s="184"/>
      <c r="AG73" s="184"/>
      <c r="AH73" s="184"/>
      <c r="AI73" s="184"/>
      <c r="AJ73" s="184"/>
      <c r="AK73" s="184"/>
      <c r="AL73" s="184"/>
      <c r="AM73" s="184"/>
      <c r="AN73" s="184"/>
      <c r="AO73" s="184"/>
      <c r="AP73" s="184"/>
      <c r="AQ73" s="184"/>
      <c r="AR73" s="184"/>
      <c r="AS73" s="184"/>
      <c r="AT73" s="184"/>
      <c r="AU73" s="184"/>
      <c r="AV73" s="184"/>
      <c r="AW73" s="184"/>
      <c r="AX73" s="184"/>
      <c r="AY73" s="184"/>
    </row>
    <row r="74" spans="1:51" x14ac:dyDescent="0.25">
      <c r="A74" s="218" t="s">
        <v>327</v>
      </c>
      <c r="B74" s="218" t="s">
        <v>328</v>
      </c>
      <c r="C74" s="260" t="s">
        <v>616</v>
      </c>
      <c r="D74" s="269" t="s">
        <v>41</v>
      </c>
      <c r="E74" s="218" t="s">
        <v>329</v>
      </c>
      <c r="F74" s="219">
        <v>10212.11</v>
      </c>
      <c r="G74" s="219">
        <f t="shared" si="8"/>
        <v>122545.32</v>
      </c>
      <c r="H74" s="193" t="s">
        <v>267</v>
      </c>
      <c r="I74" s="194">
        <v>16000</v>
      </c>
      <c r="J74" s="194">
        <v>1258</v>
      </c>
      <c r="K74" s="195">
        <v>5000</v>
      </c>
      <c r="L74" s="196">
        <v>330991</v>
      </c>
      <c r="M74" s="197">
        <f t="shared" si="9"/>
        <v>122545.32</v>
      </c>
      <c r="N74" s="198">
        <v>56347.12</v>
      </c>
      <c r="O74" s="199">
        <f t="shared" si="10"/>
        <v>59578.380000000005</v>
      </c>
      <c r="P74" s="200">
        <v>6057.27</v>
      </c>
      <c r="Q74" s="190">
        <v>1838</v>
      </c>
      <c r="R74" s="314" t="s">
        <v>1435</v>
      </c>
      <c r="S74" s="253">
        <v>392555.92</v>
      </c>
      <c r="T74" s="184"/>
      <c r="U74" s="184"/>
      <c r="V74" s="184"/>
      <c r="W74" s="184"/>
      <c r="X74" s="184"/>
      <c r="Y74" s="184"/>
      <c r="Z74" s="184"/>
      <c r="AA74" s="184"/>
      <c r="AB74" s="184"/>
      <c r="AC74" s="184"/>
      <c r="AD74" s="184"/>
      <c r="AE74" s="184"/>
      <c r="AF74" s="184"/>
      <c r="AG74" s="184"/>
      <c r="AH74" s="184"/>
      <c r="AI74" s="184"/>
      <c r="AJ74" s="184"/>
      <c r="AK74" s="184"/>
      <c r="AL74" s="184"/>
      <c r="AM74" s="184"/>
      <c r="AN74" s="184"/>
      <c r="AO74" s="184"/>
      <c r="AP74" s="184"/>
      <c r="AQ74" s="184"/>
      <c r="AR74" s="184"/>
      <c r="AS74" s="184"/>
      <c r="AT74" s="184"/>
      <c r="AU74" s="184"/>
      <c r="AV74" s="184"/>
      <c r="AW74" s="184"/>
      <c r="AX74" s="184"/>
      <c r="AY74" s="184"/>
    </row>
    <row r="75" spans="1:51" x14ac:dyDescent="0.25">
      <c r="A75" s="220" t="s">
        <v>231</v>
      </c>
      <c r="B75" s="220" t="s">
        <v>302</v>
      </c>
      <c r="C75" s="261" t="s">
        <v>620</v>
      </c>
      <c r="D75" s="270" t="s">
        <v>283</v>
      </c>
      <c r="E75" s="220" t="s">
        <v>303</v>
      </c>
      <c r="F75" s="221">
        <v>9227.8799999999992</v>
      </c>
      <c r="G75" s="221">
        <f t="shared" si="8"/>
        <v>110734.56</v>
      </c>
      <c r="H75" s="193" t="s">
        <v>267</v>
      </c>
      <c r="I75" s="194">
        <v>800</v>
      </c>
      <c r="J75" s="194">
        <v>5094</v>
      </c>
      <c r="K75" s="195">
        <v>10000</v>
      </c>
      <c r="L75" s="196">
        <v>347126.5</v>
      </c>
      <c r="M75" s="197">
        <f t="shared" si="9"/>
        <v>110734.56</v>
      </c>
      <c r="N75" s="198">
        <v>41309.26</v>
      </c>
      <c r="O75" s="199">
        <f t="shared" si="10"/>
        <v>62482.770000000004</v>
      </c>
      <c r="P75" s="200">
        <v>6057.27</v>
      </c>
      <c r="Q75" s="190">
        <v>1838</v>
      </c>
      <c r="R75" s="313" t="s">
        <v>642</v>
      </c>
      <c r="S75" s="252"/>
      <c r="T75" s="184"/>
      <c r="U75" s="184"/>
      <c r="V75" s="184"/>
      <c r="W75" s="184"/>
      <c r="X75" s="184"/>
      <c r="Y75" s="184"/>
      <c r="Z75" s="184"/>
      <c r="AA75" s="184"/>
      <c r="AB75" s="184"/>
      <c r="AC75" s="184"/>
      <c r="AD75" s="184"/>
      <c r="AE75" s="184"/>
      <c r="AF75" s="184"/>
      <c r="AG75" s="184"/>
      <c r="AH75" s="184"/>
      <c r="AI75" s="184"/>
      <c r="AJ75" s="184"/>
      <c r="AK75" s="184"/>
      <c r="AL75" s="184"/>
      <c r="AM75" s="184"/>
      <c r="AN75" s="184"/>
      <c r="AO75" s="184"/>
      <c r="AP75" s="184"/>
      <c r="AQ75" s="184"/>
      <c r="AR75" s="184"/>
      <c r="AS75" s="184"/>
      <c r="AT75" s="184"/>
      <c r="AU75" s="184"/>
      <c r="AV75" s="184"/>
      <c r="AW75" s="184"/>
      <c r="AX75" s="184"/>
      <c r="AY75" s="184"/>
    </row>
    <row r="76" spans="1:51" x14ac:dyDescent="0.25">
      <c r="A76" s="220" t="s">
        <v>232</v>
      </c>
      <c r="B76" s="220" t="s">
        <v>315</v>
      </c>
      <c r="C76" s="261" t="s">
        <v>620</v>
      </c>
      <c r="D76" s="270" t="s">
        <v>283</v>
      </c>
      <c r="E76" s="220" t="s">
        <v>303</v>
      </c>
      <c r="F76" s="221">
        <v>9227.8799999999992</v>
      </c>
      <c r="G76" s="221">
        <f t="shared" si="8"/>
        <v>110734.56</v>
      </c>
      <c r="H76" s="193" t="s">
        <v>267</v>
      </c>
      <c r="I76" s="194">
        <v>10000</v>
      </c>
      <c r="J76" s="194">
        <v>4946</v>
      </c>
      <c r="K76" s="195">
        <v>8000</v>
      </c>
      <c r="L76" s="196">
        <v>347126.5</v>
      </c>
      <c r="M76" s="197">
        <f t="shared" si="9"/>
        <v>110734.56</v>
      </c>
      <c r="N76" s="198">
        <v>41309.26</v>
      </c>
      <c r="O76" s="199">
        <f t="shared" si="10"/>
        <v>62482.770000000004</v>
      </c>
      <c r="P76" s="200">
        <v>6057.27</v>
      </c>
      <c r="Q76" s="190">
        <v>1838</v>
      </c>
      <c r="R76" s="313" t="s">
        <v>643</v>
      </c>
      <c r="S76" s="252"/>
      <c r="T76" s="184"/>
      <c r="U76" s="184"/>
      <c r="V76" s="184"/>
      <c r="W76" s="184"/>
      <c r="X76" s="184"/>
      <c r="Y76" s="184"/>
      <c r="Z76" s="184"/>
      <c r="AA76" s="184"/>
      <c r="AB76" s="184"/>
      <c r="AC76" s="184"/>
      <c r="AD76" s="184"/>
      <c r="AE76" s="184"/>
      <c r="AF76" s="184"/>
      <c r="AG76" s="184"/>
      <c r="AH76" s="184"/>
      <c r="AI76" s="184"/>
      <c r="AJ76" s="184"/>
      <c r="AK76" s="184"/>
      <c r="AL76" s="184"/>
      <c r="AM76" s="184"/>
      <c r="AN76" s="184"/>
      <c r="AO76" s="184"/>
      <c r="AP76" s="184"/>
      <c r="AQ76" s="184"/>
      <c r="AR76" s="184"/>
      <c r="AS76" s="184"/>
      <c r="AT76" s="184"/>
      <c r="AU76" s="184"/>
      <c r="AV76" s="184"/>
      <c r="AW76" s="184"/>
      <c r="AX76" s="184"/>
      <c r="AY76" s="184"/>
    </row>
    <row r="77" spans="1:51" x14ac:dyDescent="0.25">
      <c r="A77" s="222" t="s">
        <v>365</v>
      </c>
      <c r="B77" s="222" t="s">
        <v>366</v>
      </c>
      <c r="C77" s="2" t="s">
        <v>617</v>
      </c>
      <c r="D77" s="270" t="s">
        <v>256</v>
      </c>
      <c r="E77" s="222" t="s">
        <v>270</v>
      </c>
      <c r="F77" s="223">
        <v>12140.7</v>
      </c>
      <c r="G77" s="223">
        <f t="shared" si="8"/>
        <v>145688.40000000002</v>
      </c>
      <c r="H77" s="193" t="s">
        <v>288</v>
      </c>
      <c r="I77" s="194">
        <v>15000</v>
      </c>
      <c r="J77" s="194">
        <v>14844</v>
      </c>
      <c r="K77" s="195">
        <v>20000</v>
      </c>
      <c r="L77" s="196">
        <v>446281.03</v>
      </c>
      <c r="M77" s="197">
        <f t="shared" si="9"/>
        <v>145688.40000000002</v>
      </c>
      <c r="N77" s="198">
        <v>56432.19</v>
      </c>
      <c r="O77" s="199">
        <f t="shared" si="10"/>
        <v>80330.585400000011</v>
      </c>
      <c r="P77" s="200">
        <v>6057.27</v>
      </c>
      <c r="Q77" s="190">
        <f>3166+36</f>
        <v>3202</v>
      </c>
      <c r="R77" s="313" t="s">
        <v>570</v>
      </c>
      <c r="S77" s="252">
        <v>460673.37</v>
      </c>
      <c r="T77" s="184"/>
      <c r="U77" s="184"/>
      <c r="V77" s="184"/>
      <c r="W77" s="184"/>
      <c r="X77" s="184"/>
      <c r="Y77" s="184"/>
      <c r="Z77" s="184"/>
      <c r="AA77" s="184"/>
      <c r="AB77" s="184"/>
      <c r="AC77" s="184"/>
      <c r="AD77" s="184"/>
      <c r="AE77" s="184"/>
      <c r="AF77" s="184"/>
      <c r="AG77" s="184"/>
      <c r="AH77" s="184"/>
      <c r="AI77" s="184"/>
      <c r="AJ77" s="184"/>
      <c r="AK77" s="184"/>
      <c r="AL77" s="184"/>
      <c r="AM77" s="184"/>
      <c r="AN77" s="184"/>
      <c r="AO77" s="184"/>
      <c r="AP77" s="184"/>
      <c r="AQ77" s="184"/>
      <c r="AR77" s="184"/>
      <c r="AS77" s="184"/>
      <c r="AT77" s="184"/>
      <c r="AU77" s="184"/>
      <c r="AV77" s="184"/>
      <c r="AW77" s="184"/>
      <c r="AX77" s="184"/>
      <c r="AY77" s="184"/>
    </row>
    <row r="78" spans="1:51" x14ac:dyDescent="0.25">
      <c r="A78" s="222" t="s">
        <v>367</v>
      </c>
      <c r="B78" s="222" t="s">
        <v>368</v>
      </c>
      <c r="C78" s="2" t="s">
        <v>617</v>
      </c>
      <c r="D78" s="270" t="s">
        <v>256</v>
      </c>
      <c r="E78" s="222" t="s">
        <v>270</v>
      </c>
      <c r="F78" s="223">
        <v>12140.7</v>
      </c>
      <c r="G78" s="223">
        <f t="shared" si="8"/>
        <v>145688.40000000002</v>
      </c>
      <c r="H78" s="193" t="s">
        <v>288</v>
      </c>
      <c r="I78" s="194">
        <v>36000</v>
      </c>
      <c r="J78" s="194">
        <v>470</v>
      </c>
      <c r="K78" s="195">
        <v>5000</v>
      </c>
      <c r="L78" s="196">
        <v>446281.03</v>
      </c>
      <c r="M78" s="197">
        <f t="shared" si="9"/>
        <v>145688.40000000002</v>
      </c>
      <c r="N78" s="198">
        <v>56432.19</v>
      </c>
      <c r="O78" s="199">
        <f t="shared" si="10"/>
        <v>80330.585400000011</v>
      </c>
      <c r="P78" s="200">
        <v>6057.27</v>
      </c>
      <c r="Q78" s="190">
        <f>3166+36</f>
        <v>3202</v>
      </c>
      <c r="R78" s="313" t="s">
        <v>571</v>
      </c>
      <c r="S78" s="252">
        <v>460673.37</v>
      </c>
      <c r="T78" s="184"/>
      <c r="U78" s="184"/>
      <c r="V78" s="184"/>
      <c r="W78" s="184"/>
      <c r="X78" s="184"/>
      <c r="Y78" s="184"/>
      <c r="Z78" s="184"/>
      <c r="AA78" s="184"/>
      <c r="AB78" s="184"/>
      <c r="AC78" s="184"/>
      <c r="AD78" s="184"/>
      <c r="AE78" s="184"/>
      <c r="AF78" s="184"/>
      <c r="AG78" s="184"/>
      <c r="AH78" s="184"/>
      <c r="AI78" s="184"/>
      <c r="AJ78" s="184"/>
      <c r="AK78" s="184"/>
      <c r="AL78" s="184"/>
      <c r="AM78" s="184"/>
      <c r="AN78" s="184"/>
      <c r="AO78" s="184"/>
      <c r="AP78" s="184"/>
      <c r="AQ78" s="184"/>
      <c r="AR78" s="184"/>
      <c r="AS78" s="184"/>
      <c r="AT78" s="184"/>
      <c r="AU78" s="184"/>
      <c r="AV78" s="184"/>
      <c r="AW78" s="184"/>
      <c r="AX78" s="184"/>
      <c r="AY78" s="184"/>
    </row>
    <row r="79" spans="1:51" x14ac:dyDescent="0.25">
      <c r="A79" s="222" t="s">
        <v>369</v>
      </c>
      <c r="B79" s="222" t="s">
        <v>370</v>
      </c>
      <c r="C79" s="2" t="s">
        <v>617</v>
      </c>
      <c r="D79" s="270" t="s">
        <v>256</v>
      </c>
      <c r="E79" s="222" t="s">
        <v>270</v>
      </c>
      <c r="F79" s="223">
        <v>12140.7</v>
      </c>
      <c r="G79" s="223">
        <f t="shared" si="8"/>
        <v>145688.40000000002</v>
      </c>
      <c r="H79" s="193" t="s">
        <v>288</v>
      </c>
      <c r="I79" s="194">
        <v>36000</v>
      </c>
      <c r="J79" s="194">
        <v>12594</v>
      </c>
      <c r="K79" s="195">
        <v>15000</v>
      </c>
      <c r="L79" s="196">
        <v>446281.03</v>
      </c>
      <c r="M79" s="197">
        <f t="shared" si="9"/>
        <v>145688.40000000002</v>
      </c>
      <c r="N79" s="198">
        <v>56432.19</v>
      </c>
      <c r="O79" s="199">
        <f t="shared" si="10"/>
        <v>80330.585400000011</v>
      </c>
      <c r="P79" s="200">
        <v>6057.27</v>
      </c>
      <c r="Q79" s="190">
        <f>3166+36</f>
        <v>3202</v>
      </c>
      <c r="R79" s="313" t="s">
        <v>572</v>
      </c>
      <c r="S79" s="252">
        <v>460673.37</v>
      </c>
      <c r="T79" s="184"/>
      <c r="U79" s="184"/>
      <c r="V79" s="184"/>
      <c r="W79" s="184"/>
      <c r="X79" s="184"/>
      <c r="Y79" s="184"/>
      <c r="Z79" s="184"/>
      <c r="AA79" s="184"/>
      <c r="AB79" s="184"/>
      <c r="AC79" s="184"/>
      <c r="AD79" s="184"/>
      <c r="AE79" s="184"/>
      <c r="AF79" s="184"/>
      <c r="AG79" s="184"/>
      <c r="AH79" s="184"/>
      <c r="AI79" s="184"/>
      <c r="AJ79" s="184"/>
      <c r="AK79" s="184"/>
      <c r="AL79" s="184"/>
      <c r="AM79" s="184"/>
      <c r="AN79" s="184"/>
      <c r="AO79" s="184"/>
      <c r="AP79" s="184"/>
      <c r="AQ79" s="184"/>
      <c r="AR79" s="184"/>
      <c r="AS79" s="184"/>
      <c r="AT79" s="184"/>
      <c r="AU79" s="184"/>
      <c r="AV79" s="184"/>
      <c r="AW79" s="184"/>
      <c r="AX79" s="184"/>
      <c r="AY79" s="184"/>
    </row>
    <row r="80" spans="1:51" x14ac:dyDescent="0.25">
      <c r="A80" s="224" t="s">
        <v>333</v>
      </c>
      <c r="B80" s="224" t="s">
        <v>334</v>
      </c>
      <c r="C80" s="262" t="s">
        <v>601</v>
      </c>
      <c r="D80" s="270" t="s">
        <v>39</v>
      </c>
      <c r="E80" s="224" t="s">
        <v>335</v>
      </c>
      <c r="F80" s="225">
        <v>13295.81</v>
      </c>
      <c r="G80" s="225">
        <f t="shared" si="8"/>
        <v>159549.72</v>
      </c>
      <c r="H80" s="193" t="s">
        <v>267</v>
      </c>
      <c r="I80" s="194">
        <v>15000</v>
      </c>
      <c r="J80" s="194">
        <v>6513</v>
      </c>
      <c r="K80" s="195">
        <v>10000</v>
      </c>
      <c r="L80" s="196">
        <v>546796.32999999996</v>
      </c>
      <c r="M80" s="197">
        <f t="shared" si="9"/>
        <v>159549.72</v>
      </c>
      <c r="N80" s="198">
        <v>50190.45</v>
      </c>
      <c r="O80" s="199">
        <f t="shared" si="10"/>
        <v>98423.339399999997</v>
      </c>
      <c r="P80" s="200">
        <v>6057.27</v>
      </c>
      <c r="Q80" s="190">
        <f t="shared" ref="Q80:Q89" si="11">5248+36</f>
        <v>5284</v>
      </c>
      <c r="R80" s="313" t="s">
        <v>573</v>
      </c>
      <c r="S80" s="252">
        <v>546295.24</v>
      </c>
      <c r="T80" s="184"/>
      <c r="U80" s="184"/>
      <c r="V80" s="184"/>
      <c r="W80" s="184"/>
      <c r="X80" s="184"/>
      <c r="Y80" s="184"/>
      <c r="Z80" s="184"/>
      <c r="AA80" s="184"/>
      <c r="AB80" s="184"/>
      <c r="AC80" s="184"/>
      <c r="AD80" s="184"/>
      <c r="AE80" s="184"/>
      <c r="AF80" s="184"/>
      <c r="AG80" s="184"/>
      <c r="AH80" s="184"/>
      <c r="AI80" s="184"/>
      <c r="AJ80" s="184"/>
      <c r="AK80" s="184"/>
      <c r="AL80" s="184"/>
      <c r="AM80" s="184"/>
      <c r="AN80" s="184"/>
      <c r="AO80" s="184"/>
      <c r="AP80" s="184"/>
      <c r="AQ80" s="184"/>
      <c r="AR80" s="184"/>
      <c r="AS80" s="184"/>
      <c r="AT80" s="184"/>
      <c r="AU80" s="184"/>
      <c r="AV80" s="184"/>
      <c r="AW80" s="184"/>
      <c r="AX80" s="184"/>
      <c r="AY80" s="184"/>
    </row>
    <row r="81" spans="1:51" x14ac:dyDescent="0.25">
      <c r="A81" s="224" t="s">
        <v>394</v>
      </c>
      <c r="B81" s="224" t="s">
        <v>395</v>
      </c>
      <c r="C81" s="262" t="s">
        <v>601</v>
      </c>
      <c r="D81" s="271" t="s">
        <v>39</v>
      </c>
      <c r="E81" s="224" t="s">
        <v>335</v>
      </c>
      <c r="F81" s="225">
        <v>13295.81</v>
      </c>
      <c r="G81" s="225">
        <f t="shared" si="8"/>
        <v>159549.72</v>
      </c>
      <c r="H81" s="193" t="s">
        <v>267</v>
      </c>
      <c r="I81" s="194">
        <v>20000</v>
      </c>
      <c r="J81" s="194">
        <v>0</v>
      </c>
      <c r="K81" s="195">
        <v>15000</v>
      </c>
      <c r="L81" s="196">
        <v>546796.32999999996</v>
      </c>
      <c r="M81" s="197">
        <f t="shared" si="9"/>
        <v>159549.72</v>
      </c>
      <c r="N81" s="198">
        <v>50190.45</v>
      </c>
      <c r="O81" s="199">
        <f t="shared" si="10"/>
        <v>98423.339399999997</v>
      </c>
      <c r="P81" s="200">
        <v>6057.27</v>
      </c>
      <c r="Q81" s="190">
        <f t="shared" si="11"/>
        <v>5284</v>
      </c>
      <c r="R81" s="313" t="s">
        <v>574</v>
      </c>
      <c r="S81" s="254">
        <v>546295.24</v>
      </c>
      <c r="T81" s="184"/>
      <c r="U81" s="184"/>
      <c r="V81" s="184"/>
      <c r="W81" s="184"/>
      <c r="X81" s="184"/>
      <c r="Y81" s="184"/>
      <c r="Z81" s="184"/>
      <c r="AA81" s="184"/>
      <c r="AB81" s="184"/>
      <c r="AC81" s="184"/>
      <c r="AD81" s="184"/>
      <c r="AE81" s="184"/>
      <c r="AF81" s="184"/>
      <c r="AG81" s="184"/>
      <c r="AH81" s="184"/>
      <c r="AI81" s="184"/>
      <c r="AJ81" s="184"/>
      <c r="AK81" s="184"/>
      <c r="AL81" s="184"/>
      <c r="AM81" s="184"/>
      <c r="AN81" s="184"/>
      <c r="AO81" s="184"/>
      <c r="AP81" s="184"/>
      <c r="AQ81" s="184"/>
      <c r="AR81" s="184"/>
      <c r="AS81" s="184"/>
      <c r="AT81" s="184"/>
      <c r="AU81" s="184"/>
      <c r="AV81" s="184"/>
      <c r="AW81" s="184"/>
      <c r="AX81" s="184"/>
      <c r="AY81" s="184"/>
    </row>
    <row r="82" spans="1:51" x14ac:dyDescent="0.25">
      <c r="A82" s="193" t="s">
        <v>396</v>
      </c>
      <c r="B82" s="193"/>
      <c r="C82" s="262" t="s">
        <v>601</v>
      </c>
      <c r="D82" s="269" t="s">
        <v>39</v>
      </c>
      <c r="E82" s="224" t="s">
        <v>335</v>
      </c>
      <c r="F82" s="225">
        <v>13296.81</v>
      </c>
      <c r="G82" s="225">
        <f t="shared" si="8"/>
        <v>159561.72</v>
      </c>
      <c r="H82" s="193" t="s">
        <v>267</v>
      </c>
      <c r="I82" s="194">
        <v>20000</v>
      </c>
      <c r="J82" s="194">
        <v>0</v>
      </c>
      <c r="K82" s="195">
        <v>20000</v>
      </c>
      <c r="L82" s="196">
        <v>546796.32999999996</v>
      </c>
      <c r="M82" s="197">
        <f t="shared" si="9"/>
        <v>159561.72</v>
      </c>
      <c r="N82" s="198">
        <v>50190.45</v>
      </c>
      <c r="O82" s="199">
        <f t="shared" si="10"/>
        <v>98423.339399999997</v>
      </c>
      <c r="P82" s="200">
        <v>6057.27</v>
      </c>
      <c r="Q82" s="190">
        <f t="shared" si="11"/>
        <v>5284</v>
      </c>
      <c r="R82" s="313" t="s">
        <v>644</v>
      </c>
      <c r="S82" s="256">
        <v>546295.24</v>
      </c>
      <c r="T82" s="184"/>
      <c r="U82" s="184"/>
      <c r="V82" s="184"/>
      <c r="W82" s="184"/>
      <c r="X82" s="184"/>
      <c r="Y82" s="184"/>
      <c r="Z82" s="184"/>
      <c r="AA82" s="184"/>
      <c r="AB82" s="184"/>
      <c r="AC82" s="184"/>
      <c r="AD82" s="184"/>
      <c r="AE82" s="184"/>
      <c r="AF82" s="184"/>
      <c r="AG82" s="184"/>
      <c r="AH82" s="184"/>
      <c r="AI82" s="184"/>
      <c r="AJ82" s="184"/>
      <c r="AK82" s="184"/>
      <c r="AL82" s="184"/>
      <c r="AM82" s="184"/>
      <c r="AN82" s="184"/>
      <c r="AO82" s="184"/>
      <c r="AP82" s="184"/>
      <c r="AQ82" s="184"/>
      <c r="AR82" s="184"/>
      <c r="AS82" s="184"/>
      <c r="AT82" s="184"/>
      <c r="AU82" s="184"/>
      <c r="AV82" s="184"/>
      <c r="AW82" s="184"/>
      <c r="AX82" s="184"/>
      <c r="AY82" s="184"/>
    </row>
    <row r="83" spans="1:51" x14ac:dyDescent="0.25">
      <c r="A83" s="226" t="s">
        <v>234</v>
      </c>
      <c r="B83" s="226" t="s">
        <v>313</v>
      </c>
      <c r="C83" s="2" t="s">
        <v>639</v>
      </c>
      <c r="D83" s="270" t="s">
        <v>283</v>
      </c>
      <c r="E83" s="226" t="s">
        <v>314</v>
      </c>
      <c r="F83" s="227">
        <v>13260.01</v>
      </c>
      <c r="G83" s="227">
        <f t="shared" si="8"/>
        <v>159120.12</v>
      </c>
      <c r="H83" s="193" t="s">
        <v>267</v>
      </c>
      <c r="I83" s="194">
        <v>16000</v>
      </c>
      <c r="J83" s="194">
        <v>7998</v>
      </c>
      <c r="K83" s="195">
        <v>10000</v>
      </c>
      <c r="L83" s="196">
        <v>599155</v>
      </c>
      <c r="M83" s="197">
        <f t="shared" si="9"/>
        <v>159120.12</v>
      </c>
      <c r="N83" s="198">
        <v>39289.120000000003</v>
      </c>
      <c r="O83" s="199">
        <f t="shared" si="10"/>
        <v>107847.9</v>
      </c>
      <c r="P83" s="200">
        <v>6057.27</v>
      </c>
      <c r="Q83" s="190">
        <f t="shared" si="11"/>
        <v>5284</v>
      </c>
      <c r="R83" s="316" t="s">
        <v>575</v>
      </c>
      <c r="S83" s="252">
        <v>606965.84</v>
      </c>
      <c r="T83" s="184"/>
      <c r="U83" s="184"/>
      <c r="V83" s="184"/>
      <c r="W83" s="184"/>
      <c r="X83" s="184"/>
      <c r="Y83" s="184"/>
      <c r="Z83" s="184"/>
      <c r="AA83" s="184"/>
      <c r="AB83" s="184"/>
      <c r="AC83" s="184"/>
      <c r="AD83" s="184"/>
      <c r="AE83" s="184"/>
      <c r="AF83" s="184"/>
      <c r="AG83" s="184"/>
      <c r="AH83" s="184"/>
      <c r="AI83" s="184"/>
      <c r="AJ83" s="184"/>
      <c r="AK83" s="184"/>
      <c r="AL83" s="184"/>
      <c r="AM83" s="184"/>
      <c r="AN83" s="184"/>
      <c r="AO83" s="184"/>
      <c r="AP83" s="184"/>
      <c r="AQ83" s="184"/>
      <c r="AR83" s="184"/>
      <c r="AS83" s="184"/>
      <c r="AT83" s="184"/>
      <c r="AU83" s="184"/>
      <c r="AV83" s="184"/>
      <c r="AW83" s="184"/>
      <c r="AX83" s="184"/>
      <c r="AY83" s="184"/>
    </row>
    <row r="84" spans="1:51" x14ac:dyDescent="0.25">
      <c r="A84" s="228" t="s">
        <v>235</v>
      </c>
      <c r="B84" s="228" t="s">
        <v>310</v>
      </c>
      <c r="C84" s="2" t="s">
        <v>640</v>
      </c>
      <c r="D84" s="270" t="s">
        <v>39</v>
      </c>
      <c r="E84" s="228" t="s">
        <v>311</v>
      </c>
      <c r="F84" s="229">
        <v>15645.86</v>
      </c>
      <c r="G84" s="229">
        <f t="shared" si="8"/>
        <v>187750.32</v>
      </c>
      <c r="H84" s="193" t="s">
        <v>267</v>
      </c>
      <c r="I84" s="194">
        <v>11000</v>
      </c>
      <c r="J84" s="194">
        <v>0</v>
      </c>
      <c r="K84" s="195">
        <v>15000</v>
      </c>
      <c r="L84" s="196">
        <v>663469.5</v>
      </c>
      <c r="M84" s="197">
        <f t="shared" si="9"/>
        <v>187750.32</v>
      </c>
      <c r="N84" s="198">
        <v>55056.42</v>
      </c>
      <c r="O84" s="199">
        <f t="shared" si="10"/>
        <v>119424.51000000001</v>
      </c>
      <c r="P84" s="200">
        <v>9511.2000000000007</v>
      </c>
      <c r="Q84" s="190">
        <f t="shared" si="11"/>
        <v>5284</v>
      </c>
      <c r="R84" s="316" t="s">
        <v>576</v>
      </c>
      <c r="S84" s="252">
        <v>662932.69999999995</v>
      </c>
      <c r="T84" s="184"/>
      <c r="U84" s="184"/>
      <c r="V84" s="184"/>
      <c r="W84" s="184"/>
      <c r="X84" s="184"/>
      <c r="Y84" s="184"/>
      <c r="Z84" s="184"/>
      <c r="AA84" s="184"/>
      <c r="AB84" s="184"/>
      <c r="AC84" s="184"/>
      <c r="AD84" s="184"/>
      <c r="AE84" s="184"/>
      <c r="AF84" s="184"/>
      <c r="AG84" s="184"/>
      <c r="AH84" s="184"/>
      <c r="AI84" s="184"/>
      <c r="AJ84" s="184"/>
      <c r="AK84" s="184"/>
      <c r="AL84" s="184"/>
      <c r="AM84" s="184"/>
      <c r="AN84" s="184"/>
      <c r="AO84" s="184"/>
      <c r="AP84" s="184"/>
      <c r="AQ84" s="184"/>
      <c r="AR84" s="184"/>
      <c r="AS84" s="184"/>
      <c r="AT84" s="184"/>
      <c r="AU84" s="184"/>
      <c r="AV84" s="184"/>
      <c r="AW84" s="184"/>
      <c r="AX84" s="184"/>
      <c r="AY84" s="184"/>
    </row>
    <row r="85" spans="1:51" x14ac:dyDescent="0.25">
      <c r="A85" s="228" t="s">
        <v>236</v>
      </c>
      <c r="B85" s="228" t="s">
        <v>312</v>
      </c>
      <c r="C85" s="2" t="s">
        <v>639</v>
      </c>
      <c r="D85" s="270" t="s">
        <v>582</v>
      </c>
      <c r="E85" s="228" t="s">
        <v>311</v>
      </c>
      <c r="F85" s="229">
        <v>15645.86</v>
      </c>
      <c r="G85" s="229">
        <f t="shared" si="8"/>
        <v>187750.32</v>
      </c>
      <c r="H85" s="193" t="s">
        <v>267</v>
      </c>
      <c r="I85" s="194">
        <v>8000</v>
      </c>
      <c r="J85" s="194">
        <v>7881</v>
      </c>
      <c r="K85" s="195">
        <v>10000</v>
      </c>
      <c r="L85" s="196">
        <v>663469.5</v>
      </c>
      <c r="M85" s="197">
        <f t="shared" si="9"/>
        <v>187750.32</v>
      </c>
      <c r="N85" s="198">
        <v>55056.42</v>
      </c>
      <c r="O85" s="199">
        <f t="shared" si="10"/>
        <v>119424.51000000001</v>
      </c>
      <c r="P85" s="200">
        <v>9511.2000000000007</v>
      </c>
      <c r="Q85" s="190">
        <f t="shared" si="11"/>
        <v>5284</v>
      </c>
      <c r="R85" s="316" t="s">
        <v>645</v>
      </c>
      <c r="S85" s="252">
        <v>662932.69999999995</v>
      </c>
      <c r="T85" s="184"/>
      <c r="U85" s="184"/>
      <c r="V85" s="184"/>
      <c r="W85" s="184"/>
      <c r="X85" s="184"/>
      <c r="Y85" s="184"/>
      <c r="Z85" s="184"/>
      <c r="AA85" s="184"/>
      <c r="AB85" s="184"/>
      <c r="AC85" s="184"/>
      <c r="AD85" s="184"/>
      <c r="AE85" s="184"/>
      <c r="AF85" s="184"/>
      <c r="AG85" s="184"/>
      <c r="AH85" s="184"/>
      <c r="AI85" s="184"/>
      <c r="AJ85" s="184"/>
      <c r="AK85" s="184"/>
      <c r="AL85" s="184"/>
      <c r="AM85" s="184"/>
      <c r="AN85" s="184"/>
      <c r="AO85" s="184"/>
      <c r="AP85" s="184"/>
      <c r="AQ85" s="184"/>
      <c r="AR85" s="184"/>
      <c r="AS85" s="184"/>
      <c r="AT85" s="184"/>
      <c r="AU85" s="184"/>
      <c r="AV85" s="184"/>
      <c r="AW85" s="184"/>
      <c r="AX85" s="184"/>
      <c r="AY85" s="184"/>
    </row>
    <row r="86" spans="1:51" x14ac:dyDescent="0.25">
      <c r="A86" s="230" t="s">
        <v>385</v>
      </c>
      <c r="B86" s="230" t="s">
        <v>386</v>
      </c>
      <c r="C86" s="263" t="s">
        <v>602</v>
      </c>
      <c r="D86" s="269" t="s">
        <v>39</v>
      </c>
      <c r="E86" s="230" t="s">
        <v>387</v>
      </c>
      <c r="F86" s="231">
        <v>12999.17</v>
      </c>
      <c r="G86" s="231">
        <f t="shared" si="8"/>
        <v>155990.04</v>
      </c>
      <c r="H86" s="193" t="s">
        <v>267</v>
      </c>
      <c r="I86" s="194">
        <v>10000</v>
      </c>
      <c r="J86" s="194">
        <v>6710</v>
      </c>
      <c r="K86" s="195">
        <v>10000</v>
      </c>
      <c r="L86" s="196">
        <v>532068</v>
      </c>
      <c r="M86" s="197">
        <f t="shared" si="9"/>
        <v>155990.04</v>
      </c>
      <c r="N86" s="198">
        <v>49576.44</v>
      </c>
      <c r="O86" s="199">
        <f t="shared" si="10"/>
        <v>95772.24</v>
      </c>
      <c r="P86" s="200">
        <v>6057.27</v>
      </c>
      <c r="Q86" s="190">
        <f t="shared" si="11"/>
        <v>5284</v>
      </c>
      <c r="R86" s="316" t="s">
        <v>1428</v>
      </c>
      <c r="S86" s="252">
        <v>532068.57999999996</v>
      </c>
      <c r="T86" s="184"/>
      <c r="U86" s="184"/>
      <c r="V86" s="184"/>
      <c r="W86" s="184"/>
      <c r="X86" s="184"/>
      <c r="Y86" s="184"/>
      <c r="Z86" s="184"/>
      <c r="AA86" s="184"/>
      <c r="AB86" s="184"/>
      <c r="AC86" s="184"/>
      <c r="AD86" s="184"/>
      <c r="AE86" s="184"/>
      <c r="AF86" s="184"/>
      <c r="AG86" s="184"/>
      <c r="AH86" s="184"/>
      <c r="AI86" s="184"/>
      <c r="AJ86" s="184"/>
      <c r="AK86" s="184"/>
      <c r="AL86" s="184"/>
      <c r="AM86" s="184"/>
      <c r="AN86" s="184"/>
      <c r="AO86" s="184"/>
      <c r="AP86" s="184"/>
      <c r="AQ86" s="184"/>
      <c r="AR86" s="184"/>
      <c r="AS86" s="184"/>
      <c r="AT86" s="184"/>
      <c r="AU86" s="184"/>
      <c r="AV86" s="184"/>
      <c r="AW86" s="184"/>
      <c r="AX86" s="184"/>
      <c r="AY86" s="184"/>
    </row>
    <row r="87" spans="1:51" x14ac:dyDescent="0.25">
      <c r="A87" s="232" t="s">
        <v>324</v>
      </c>
      <c r="B87" s="232" t="s">
        <v>325</v>
      </c>
      <c r="C87" s="264" t="s">
        <v>611</v>
      </c>
      <c r="D87" s="259" t="s">
        <v>94</v>
      </c>
      <c r="E87" s="232" t="s">
        <v>326</v>
      </c>
      <c r="F87" s="233">
        <v>13362.3</v>
      </c>
      <c r="G87" s="233">
        <f t="shared" si="8"/>
        <v>160347.59999999998</v>
      </c>
      <c r="H87" s="193" t="s">
        <v>267</v>
      </c>
      <c r="I87" s="194">
        <v>40000</v>
      </c>
      <c r="J87" s="194">
        <v>8193</v>
      </c>
      <c r="K87" s="195">
        <v>10000</v>
      </c>
      <c r="L87" s="196">
        <v>532068</v>
      </c>
      <c r="M87" s="197">
        <f t="shared" si="9"/>
        <v>160347.59999999998</v>
      </c>
      <c r="N87" s="198">
        <v>53934</v>
      </c>
      <c r="O87" s="199">
        <f t="shared" si="10"/>
        <v>95772.24</v>
      </c>
      <c r="P87" s="200">
        <v>6057.27</v>
      </c>
      <c r="Q87" s="190">
        <f t="shared" si="11"/>
        <v>5284</v>
      </c>
      <c r="R87" s="316" t="s">
        <v>1429</v>
      </c>
      <c r="S87" s="252">
        <v>532068</v>
      </c>
      <c r="T87" s="184"/>
      <c r="U87" s="184"/>
      <c r="V87" s="184"/>
      <c r="W87" s="184"/>
      <c r="X87" s="184"/>
      <c r="Y87" s="184"/>
      <c r="Z87" s="184"/>
      <c r="AA87" s="184"/>
      <c r="AB87" s="184"/>
      <c r="AC87" s="184"/>
      <c r="AD87" s="184"/>
      <c r="AE87" s="184"/>
      <c r="AF87" s="184"/>
      <c r="AG87" s="184"/>
      <c r="AH87" s="184"/>
      <c r="AI87" s="184"/>
      <c r="AJ87" s="184"/>
      <c r="AK87" s="184"/>
      <c r="AL87" s="184"/>
      <c r="AM87" s="184"/>
      <c r="AN87" s="184"/>
      <c r="AO87" s="184"/>
      <c r="AP87" s="184"/>
      <c r="AQ87" s="184"/>
      <c r="AR87" s="184"/>
      <c r="AS87" s="184"/>
      <c r="AT87" s="184"/>
      <c r="AU87" s="184"/>
      <c r="AV87" s="184"/>
      <c r="AW87" s="184"/>
      <c r="AX87" s="184"/>
      <c r="AY87" s="184"/>
    </row>
    <row r="88" spans="1:51" x14ac:dyDescent="0.25">
      <c r="A88" s="224" t="s">
        <v>295</v>
      </c>
      <c r="B88" s="224" t="s">
        <v>181</v>
      </c>
      <c r="C88" s="262" t="s">
        <v>610</v>
      </c>
      <c r="D88" s="273" t="s">
        <v>92</v>
      </c>
      <c r="E88" s="224" t="s">
        <v>273</v>
      </c>
      <c r="F88" s="225">
        <v>14670.23</v>
      </c>
      <c r="G88" s="225">
        <f t="shared" si="8"/>
        <v>176042.76</v>
      </c>
      <c r="H88" s="193" t="s">
        <v>267</v>
      </c>
      <c r="I88" s="194">
        <v>45000</v>
      </c>
      <c r="J88" s="194">
        <v>37489</v>
      </c>
      <c r="K88" s="195">
        <v>40000</v>
      </c>
      <c r="L88" s="196">
        <v>615032</v>
      </c>
      <c r="M88" s="197">
        <f t="shared" si="9"/>
        <v>176042.76</v>
      </c>
      <c r="N88" s="198">
        <v>53036.36</v>
      </c>
      <c r="O88" s="199">
        <f t="shared" si="10"/>
        <v>110705.76000000001</v>
      </c>
      <c r="P88" s="200">
        <v>6057.27</v>
      </c>
      <c r="Q88" s="190">
        <f t="shared" si="11"/>
        <v>5284</v>
      </c>
      <c r="R88" s="316" t="s">
        <v>1430</v>
      </c>
      <c r="S88" s="252"/>
      <c r="T88" s="184"/>
      <c r="U88" s="184"/>
      <c r="V88" s="184"/>
      <c r="W88" s="184"/>
      <c r="X88" s="184"/>
      <c r="Y88" s="184"/>
      <c r="Z88" s="184"/>
      <c r="AA88" s="184"/>
      <c r="AB88" s="184"/>
      <c r="AC88" s="184"/>
      <c r="AD88" s="184"/>
      <c r="AE88" s="184"/>
      <c r="AF88" s="184"/>
      <c r="AG88" s="184"/>
      <c r="AH88" s="184"/>
      <c r="AI88" s="184"/>
      <c r="AJ88" s="184"/>
      <c r="AK88" s="184"/>
      <c r="AL88" s="184"/>
      <c r="AM88" s="184"/>
      <c r="AN88" s="184"/>
      <c r="AO88" s="184"/>
      <c r="AP88" s="184"/>
      <c r="AQ88" s="184"/>
      <c r="AR88" s="184"/>
      <c r="AS88" s="184"/>
      <c r="AT88" s="184"/>
      <c r="AU88" s="184"/>
      <c r="AV88" s="184"/>
      <c r="AW88" s="184"/>
      <c r="AX88" s="184"/>
      <c r="AY88" s="184"/>
    </row>
    <row r="89" spans="1:51" ht="13.8" thickBot="1" x14ac:dyDescent="0.3">
      <c r="A89" s="240" t="s">
        <v>296</v>
      </c>
      <c r="B89" s="240" t="s">
        <v>297</v>
      </c>
      <c r="C89" s="265" t="s">
        <v>618</v>
      </c>
      <c r="D89" s="274" t="s">
        <v>256</v>
      </c>
      <c r="E89" s="240" t="s">
        <v>275</v>
      </c>
      <c r="F89" s="241">
        <v>40000</v>
      </c>
      <c r="G89" s="241">
        <f t="shared" si="8"/>
        <v>480000</v>
      </c>
      <c r="H89" s="242" t="s">
        <v>423</v>
      </c>
      <c r="I89" s="194">
        <v>10000</v>
      </c>
      <c r="J89" s="194">
        <v>11306</v>
      </c>
      <c r="K89" s="195">
        <v>15000</v>
      </c>
      <c r="L89" s="196">
        <v>1367901.39</v>
      </c>
      <c r="M89" s="197">
        <f t="shared" si="9"/>
        <v>480000</v>
      </c>
      <c r="N89" s="198">
        <v>206419.72</v>
      </c>
      <c r="O89" s="199">
        <f t="shared" si="10"/>
        <v>246222.25019999998</v>
      </c>
      <c r="P89" s="200">
        <v>9717.98</v>
      </c>
      <c r="Q89" s="190">
        <f t="shared" si="11"/>
        <v>5284</v>
      </c>
      <c r="R89" s="316" t="s">
        <v>1431</v>
      </c>
      <c r="S89" s="252">
        <v>1406963.49</v>
      </c>
      <c r="T89" s="184"/>
      <c r="U89" s="184"/>
      <c r="V89" s="184"/>
      <c r="W89" s="184"/>
      <c r="X89" s="184"/>
      <c r="Y89" s="184"/>
      <c r="Z89" s="184"/>
      <c r="AA89" s="184"/>
      <c r="AB89" s="184"/>
      <c r="AC89" s="184"/>
      <c r="AD89" s="184"/>
      <c r="AE89" s="184"/>
      <c r="AF89" s="184"/>
      <c r="AG89" s="184"/>
      <c r="AH89" s="184"/>
      <c r="AI89" s="184"/>
      <c r="AJ89" s="184"/>
      <c r="AK89" s="184"/>
      <c r="AL89" s="184"/>
      <c r="AM89" s="184"/>
      <c r="AN89" s="184"/>
      <c r="AO89" s="184"/>
      <c r="AP89" s="184"/>
      <c r="AQ89" s="184"/>
      <c r="AR89" s="184"/>
      <c r="AS89" s="184"/>
      <c r="AT89" s="184"/>
      <c r="AU89" s="184"/>
      <c r="AV89" s="184"/>
      <c r="AW89" s="184"/>
      <c r="AX89" s="184"/>
      <c r="AY89" s="184"/>
    </row>
    <row r="90" spans="1:51" ht="13.8" thickBot="1" x14ac:dyDescent="0.3">
      <c r="A90" s="243" t="s">
        <v>406</v>
      </c>
      <c r="B90" s="243" t="s">
        <v>397</v>
      </c>
      <c r="C90" s="250" t="s">
        <v>603</v>
      </c>
      <c r="D90" s="275" t="s">
        <v>39</v>
      </c>
      <c r="E90" s="243" t="s">
        <v>417</v>
      </c>
      <c r="F90" s="244"/>
      <c r="G90" s="244"/>
      <c r="H90" s="243" t="s">
        <v>422</v>
      </c>
      <c r="J90" s="185">
        <v>0</v>
      </c>
      <c r="K90" s="235"/>
      <c r="L90" s="236">
        <v>711671</v>
      </c>
      <c r="M90" s="200">
        <v>200000</v>
      </c>
      <c r="N90" s="200">
        <v>60000</v>
      </c>
      <c r="O90" s="200">
        <f t="shared" si="10"/>
        <v>128100.78</v>
      </c>
      <c r="P90" s="200">
        <v>9800</v>
      </c>
      <c r="Q90" s="190">
        <v>6500</v>
      </c>
      <c r="R90" s="316" t="s">
        <v>577</v>
      </c>
      <c r="S90" s="252">
        <v>672484.51</v>
      </c>
      <c r="T90" s="184"/>
      <c r="U90" s="184"/>
      <c r="V90" s="184"/>
      <c r="W90" s="184"/>
      <c r="X90" s="184"/>
      <c r="Y90" s="184"/>
      <c r="Z90" s="184"/>
      <c r="AA90" s="184"/>
      <c r="AB90" s="184"/>
      <c r="AC90" s="184"/>
      <c r="AD90" s="184"/>
      <c r="AE90" s="184"/>
      <c r="AF90" s="184"/>
      <c r="AG90" s="184"/>
      <c r="AH90" s="184"/>
      <c r="AI90" s="184"/>
      <c r="AJ90" s="184"/>
      <c r="AK90" s="184"/>
      <c r="AL90" s="184"/>
      <c r="AM90" s="184"/>
      <c r="AN90" s="184"/>
      <c r="AO90" s="184"/>
      <c r="AP90" s="184"/>
      <c r="AQ90" s="184"/>
      <c r="AR90" s="184"/>
      <c r="AS90" s="184"/>
      <c r="AT90" s="184"/>
      <c r="AU90" s="184"/>
      <c r="AV90" s="184"/>
      <c r="AW90" s="184"/>
      <c r="AX90" s="184"/>
      <c r="AY90" s="184"/>
    </row>
    <row r="91" spans="1:51" ht="13.8" thickBot="1" x14ac:dyDescent="0.3">
      <c r="A91" s="243" t="s">
        <v>407</v>
      </c>
      <c r="B91" s="243" t="s">
        <v>397</v>
      </c>
      <c r="C91" s="250" t="s">
        <v>603</v>
      </c>
      <c r="D91" s="275" t="s">
        <v>39</v>
      </c>
      <c r="E91" s="243" t="s">
        <v>417</v>
      </c>
      <c r="F91" s="244"/>
      <c r="G91" s="244"/>
      <c r="H91" s="243" t="s">
        <v>422</v>
      </c>
      <c r="J91" s="185">
        <v>0</v>
      </c>
      <c r="K91" s="235"/>
      <c r="L91" s="236">
        <v>711671</v>
      </c>
      <c r="M91" s="200">
        <v>200000</v>
      </c>
      <c r="N91" s="200">
        <v>60000</v>
      </c>
      <c r="O91" s="200">
        <f t="shared" si="10"/>
        <v>128100.78</v>
      </c>
      <c r="P91" s="200">
        <v>9800</v>
      </c>
      <c r="Q91" s="190">
        <v>6500</v>
      </c>
      <c r="R91" s="316" t="s">
        <v>578</v>
      </c>
      <c r="S91" s="252">
        <v>672484.51</v>
      </c>
    </row>
    <row r="92" spans="1:51" ht="13.8" thickBot="1" x14ac:dyDescent="0.3">
      <c r="A92" s="243" t="s">
        <v>408</v>
      </c>
      <c r="B92" s="243" t="s">
        <v>397</v>
      </c>
      <c r="C92" s="250" t="s">
        <v>604</v>
      </c>
      <c r="D92" s="275" t="s">
        <v>39</v>
      </c>
      <c r="E92" s="243" t="s">
        <v>418</v>
      </c>
      <c r="F92" s="244"/>
      <c r="G92" s="244"/>
      <c r="H92" s="243" t="s">
        <v>423</v>
      </c>
      <c r="J92" s="185">
        <v>0</v>
      </c>
      <c r="K92" s="235"/>
      <c r="L92" s="236">
        <v>799683.51</v>
      </c>
      <c r="M92" s="200">
        <v>220000</v>
      </c>
      <c r="N92" s="200">
        <v>80000</v>
      </c>
      <c r="O92" s="200">
        <f t="shared" si="10"/>
        <v>143943.0318</v>
      </c>
      <c r="P92" s="200">
        <v>9800</v>
      </c>
      <c r="Q92" s="190">
        <v>6500</v>
      </c>
      <c r="R92" s="344" t="s">
        <v>1432</v>
      </c>
      <c r="S92" s="252"/>
    </row>
    <row r="93" spans="1:51" ht="13.8" thickBot="1" x14ac:dyDescent="0.3">
      <c r="A93" s="243" t="s">
        <v>409</v>
      </c>
      <c r="B93" s="243" t="s">
        <v>397</v>
      </c>
      <c r="C93" s="250" t="s">
        <v>604</v>
      </c>
      <c r="D93" s="275" t="s">
        <v>39</v>
      </c>
      <c r="E93" s="243" t="s">
        <v>418</v>
      </c>
      <c r="F93" s="244"/>
      <c r="G93" s="244"/>
      <c r="H93" s="243" t="s">
        <v>423</v>
      </c>
      <c r="J93" s="185">
        <v>0</v>
      </c>
      <c r="K93" s="235"/>
      <c r="L93" s="236">
        <v>799683.51</v>
      </c>
      <c r="M93" s="200">
        <v>220000</v>
      </c>
      <c r="N93" s="200">
        <v>80000</v>
      </c>
      <c r="O93" s="200">
        <f t="shared" si="10"/>
        <v>143943.0318</v>
      </c>
      <c r="P93" s="200">
        <v>9800</v>
      </c>
      <c r="Q93" s="190">
        <v>6500</v>
      </c>
      <c r="R93" s="344" t="s">
        <v>1433</v>
      </c>
      <c r="S93" s="252"/>
    </row>
    <row r="94" spans="1:51" ht="13.8" thickBot="1" x14ac:dyDescent="0.3">
      <c r="A94" s="243" t="s">
        <v>410</v>
      </c>
      <c r="B94" s="243" t="s">
        <v>397</v>
      </c>
      <c r="C94" s="250" t="s">
        <v>605</v>
      </c>
      <c r="D94" s="276" t="s">
        <v>39</v>
      </c>
      <c r="E94" s="243" t="s">
        <v>419</v>
      </c>
      <c r="F94" s="244"/>
      <c r="G94" s="244"/>
      <c r="H94" s="243" t="s">
        <v>423</v>
      </c>
      <c r="J94" s="185">
        <v>0</v>
      </c>
      <c r="K94" s="235"/>
      <c r="L94" s="236">
        <f>1374995/2</f>
        <v>687497.5</v>
      </c>
      <c r="M94" s="200">
        <v>200000</v>
      </c>
      <c r="N94" s="200">
        <v>60000</v>
      </c>
      <c r="O94" s="200">
        <f t="shared" si="10"/>
        <v>123749.55</v>
      </c>
      <c r="P94" s="200">
        <v>9800</v>
      </c>
      <c r="Q94" s="190">
        <v>6500</v>
      </c>
      <c r="R94" s="316" t="s">
        <v>646</v>
      </c>
      <c r="S94" s="252">
        <v>703582.92</v>
      </c>
    </row>
    <row r="95" spans="1:51" ht="13.8" thickBot="1" x14ac:dyDescent="0.3">
      <c r="A95" s="243" t="s">
        <v>411</v>
      </c>
      <c r="B95" s="243" t="s">
        <v>397</v>
      </c>
      <c r="C95" s="250" t="s">
        <v>605</v>
      </c>
      <c r="D95" s="275" t="s">
        <v>39</v>
      </c>
      <c r="E95" s="243" t="s">
        <v>419</v>
      </c>
      <c r="F95" s="244"/>
      <c r="G95" s="244"/>
      <c r="H95" s="243" t="s">
        <v>423</v>
      </c>
      <c r="J95" s="185">
        <v>0</v>
      </c>
      <c r="K95" s="235"/>
      <c r="L95" s="236">
        <v>687497.5</v>
      </c>
      <c r="M95" s="200">
        <v>200000</v>
      </c>
      <c r="N95" s="200">
        <v>60000</v>
      </c>
      <c r="O95" s="200">
        <f t="shared" si="10"/>
        <v>123749.55</v>
      </c>
      <c r="P95" s="200">
        <v>9800</v>
      </c>
      <c r="Q95" s="190">
        <v>6500</v>
      </c>
      <c r="R95" s="315" t="s">
        <v>1436</v>
      </c>
      <c r="S95" s="253">
        <v>703582.92</v>
      </c>
    </row>
    <row r="96" spans="1:51" ht="13.8" thickBot="1" x14ac:dyDescent="0.3">
      <c r="A96" s="243" t="s">
        <v>412</v>
      </c>
      <c r="B96" s="243" t="s">
        <v>397</v>
      </c>
      <c r="C96" s="250" t="s">
        <v>606</v>
      </c>
      <c r="D96" s="275" t="s">
        <v>39</v>
      </c>
      <c r="E96" s="243" t="s">
        <v>420</v>
      </c>
      <c r="F96" s="244"/>
      <c r="G96" s="244"/>
      <c r="H96" s="243" t="s">
        <v>424</v>
      </c>
      <c r="J96" s="185">
        <v>0</v>
      </c>
      <c r="K96" s="235"/>
      <c r="L96" s="236">
        <f>1910640/4</f>
        <v>477660</v>
      </c>
      <c r="M96" s="200">
        <v>150000</v>
      </c>
      <c r="N96" s="200">
        <v>50000</v>
      </c>
      <c r="O96" s="200">
        <f t="shared" si="10"/>
        <v>85978.8</v>
      </c>
      <c r="P96" s="200">
        <v>9800</v>
      </c>
      <c r="Q96" s="190">
        <v>6500</v>
      </c>
      <c r="R96" s="316" t="s">
        <v>1420</v>
      </c>
      <c r="S96" s="252">
        <f>1910640/4</f>
        <v>477660</v>
      </c>
    </row>
    <row r="97" spans="1:19" ht="13.8" thickBot="1" x14ac:dyDescent="0.3">
      <c r="A97" s="243" t="s">
        <v>413</v>
      </c>
      <c r="B97" s="243" t="s">
        <v>397</v>
      </c>
      <c r="C97" s="250" t="s">
        <v>606</v>
      </c>
      <c r="D97" s="275" t="s">
        <v>39</v>
      </c>
      <c r="E97" s="243" t="s">
        <v>420</v>
      </c>
      <c r="F97" s="244"/>
      <c r="G97" s="244"/>
      <c r="H97" s="243" t="s">
        <v>424</v>
      </c>
      <c r="J97" s="185">
        <v>0</v>
      </c>
      <c r="K97" s="235"/>
      <c r="L97" s="236">
        <v>477660</v>
      </c>
      <c r="M97" s="200">
        <v>150000</v>
      </c>
      <c r="N97" s="200">
        <v>50000</v>
      </c>
      <c r="O97" s="200">
        <f t="shared" si="10"/>
        <v>85978.8</v>
      </c>
      <c r="P97" s="200">
        <v>9800</v>
      </c>
      <c r="Q97" s="190">
        <v>6500</v>
      </c>
      <c r="R97" s="316" t="s">
        <v>1421</v>
      </c>
      <c r="S97" s="252">
        <f>1910640/4</f>
        <v>477660</v>
      </c>
    </row>
    <row r="98" spans="1:19" ht="13.8" thickBot="1" x14ac:dyDescent="0.3">
      <c r="A98" s="243" t="s">
        <v>414</v>
      </c>
      <c r="B98" s="243" t="s">
        <v>397</v>
      </c>
      <c r="C98" s="250" t="s">
        <v>606</v>
      </c>
      <c r="D98" s="275" t="s">
        <v>39</v>
      </c>
      <c r="E98" s="243" t="s">
        <v>420</v>
      </c>
      <c r="F98" s="244"/>
      <c r="G98" s="244"/>
      <c r="H98" s="243" t="s">
        <v>424</v>
      </c>
      <c r="J98" s="185">
        <v>0</v>
      </c>
      <c r="K98" s="235"/>
      <c r="L98" s="236">
        <v>477660</v>
      </c>
      <c r="M98" s="200">
        <v>150000</v>
      </c>
      <c r="N98" s="200">
        <v>50000</v>
      </c>
      <c r="O98" s="200">
        <f t="shared" si="10"/>
        <v>85978.8</v>
      </c>
      <c r="P98" s="200">
        <v>9800</v>
      </c>
      <c r="Q98" s="190">
        <v>6500</v>
      </c>
      <c r="R98" s="316" t="s">
        <v>1422</v>
      </c>
      <c r="S98" s="252">
        <f>1910640/4</f>
        <v>477660</v>
      </c>
    </row>
    <row r="99" spans="1:19" ht="13.8" thickBot="1" x14ac:dyDescent="0.3">
      <c r="A99" s="243" t="s">
        <v>415</v>
      </c>
      <c r="B99" s="243" t="s">
        <v>397</v>
      </c>
      <c r="C99" s="250" t="s">
        <v>606</v>
      </c>
      <c r="D99" s="275" t="s">
        <v>39</v>
      </c>
      <c r="E99" s="243" t="s">
        <v>420</v>
      </c>
      <c r="F99" s="244"/>
      <c r="G99" s="244"/>
      <c r="H99" s="243" t="s">
        <v>424</v>
      </c>
      <c r="J99" s="185">
        <v>0</v>
      </c>
      <c r="K99" s="235"/>
      <c r="L99" s="236">
        <v>477660</v>
      </c>
      <c r="M99" s="200">
        <v>150000</v>
      </c>
      <c r="N99" s="200">
        <v>50000</v>
      </c>
      <c r="O99" s="200">
        <f t="shared" si="10"/>
        <v>85978.8</v>
      </c>
      <c r="P99" s="200">
        <v>9800</v>
      </c>
      <c r="Q99" s="190">
        <v>6500</v>
      </c>
      <c r="R99" s="316" t="s">
        <v>1423</v>
      </c>
      <c r="S99" s="252">
        <f>1910640/4</f>
        <v>477660</v>
      </c>
    </row>
    <row r="100" spans="1:19" ht="13.8" thickBot="1" x14ac:dyDescent="0.3">
      <c r="A100" s="243" t="s">
        <v>416</v>
      </c>
      <c r="B100" s="243" t="s">
        <v>397</v>
      </c>
      <c r="C100" s="249" t="s">
        <v>621</v>
      </c>
      <c r="D100" s="276" t="s">
        <v>582</v>
      </c>
      <c r="E100" s="243" t="s">
        <v>421</v>
      </c>
      <c r="F100" s="244"/>
      <c r="G100" s="244"/>
      <c r="H100" s="243" t="s">
        <v>267</v>
      </c>
      <c r="J100" s="185">
        <v>0</v>
      </c>
      <c r="K100" s="235"/>
      <c r="L100" s="236">
        <v>1173869</v>
      </c>
      <c r="M100" s="200">
        <v>350000</v>
      </c>
      <c r="N100" s="200">
        <v>190000</v>
      </c>
      <c r="O100" s="200">
        <f t="shared" si="10"/>
        <v>211296.42</v>
      </c>
      <c r="P100" s="200">
        <v>9800</v>
      </c>
      <c r="Q100" s="190">
        <v>6500</v>
      </c>
      <c r="R100" s="316" t="s">
        <v>579</v>
      </c>
      <c r="S100" s="252">
        <v>1022708.3</v>
      </c>
    </row>
    <row r="101" spans="1:19" x14ac:dyDescent="0.25">
      <c r="F101" s="234"/>
      <c r="G101" s="234"/>
      <c r="K101" s="235"/>
      <c r="L101" s="236"/>
      <c r="S101" s="257">
        <f>SUBTOTAL(9,S2:S100)</f>
        <v>30070453.179999992</v>
      </c>
    </row>
    <row r="102" spans="1:19" x14ac:dyDescent="0.25">
      <c r="F102" s="234"/>
      <c r="G102" s="234"/>
      <c r="K102" s="235"/>
      <c r="L102" s="236"/>
    </row>
    <row r="103" spans="1:19" x14ac:dyDescent="0.25">
      <c r="F103" s="237"/>
      <c r="G103" s="237"/>
    </row>
    <row r="104" spans="1:19" x14ac:dyDescent="0.25">
      <c r="F104" s="237"/>
      <c r="G104" s="237"/>
    </row>
    <row r="105" spans="1:19" x14ac:dyDescent="0.25">
      <c r="F105" s="237"/>
      <c r="G105" s="237"/>
    </row>
    <row r="106" spans="1:19" x14ac:dyDescent="0.25">
      <c r="F106" s="237"/>
      <c r="G106" s="237"/>
    </row>
    <row r="107" spans="1:19" x14ac:dyDescent="0.25">
      <c r="F107" s="237"/>
      <c r="G107" s="237"/>
    </row>
    <row r="108" spans="1:19" x14ac:dyDescent="0.25">
      <c r="F108" s="237"/>
      <c r="G108" s="237"/>
    </row>
    <row r="109" spans="1:19" x14ac:dyDescent="0.25">
      <c r="F109" s="237"/>
      <c r="G109" s="237"/>
    </row>
    <row r="110" spans="1:19" x14ac:dyDescent="0.25">
      <c r="F110" s="237"/>
      <c r="G110" s="237"/>
    </row>
    <row r="111" spans="1:19" x14ac:dyDescent="0.25">
      <c r="F111" s="237"/>
      <c r="G111" s="237"/>
    </row>
    <row r="112" spans="1:19" x14ac:dyDescent="0.25">
      <c r="F112" s="237"/>
      <c r="G112" s="237"/>
    </row>
    <row r="113" spans="6:7" x14ac:dyDescent="0.25">
      <c r="F113" s="237"/>
      <c r="G113" s="237"/>
    </row>
    <row r="114" spans="6:7" x14ac:dyDescent="0.25">
      <c r="F114" s="237"/>
      <c r="G114" s="237"/>
    </row>
    <row r="115" spans="6:7" x14ac:dyDescent="0.25">
      <c r="F115" s="237"/>
      <c r="G115" s="237"/>
    </row>
  </sheetData>
  <autoFilter ref="A1:AY100" xr:uid="{00000000-0009-0000-0000-00000A000000}"/>
  <sortState xmlns:xlrd2="http://schemas.microsoft.com/office/spreadsheetml/2017/richdata2" ref="A3:AY28">
    <sortCondition ref="A3"/>
  </sortState>
  <customSheetViews>
    <customSheetView guid="{60788006-5C2B-4CAF-8D5B-3FA82F99F0BB}" showAutoFilter="1" hiddenColumns="1" topLeftCell="I1">
      <pane ySplit="2" topLeftCell="A3" activePane="bottomLeft" state="frozen"/>
      <selection pane="bottomLeft" activeCell="R12" sqref="R12"/>
      <pageMargins left="0" right="0" top="0" bottom="0" header="0.31496062992125984" footer="0.31496062992125984"/>
      <pageSetup paperSize="9" scale="90" orientation="portrait" r:id="rId1"/>
      <autoFilter ref="A1:AY100" xr:uid="{00000000-0009-0000-0000-00000A000000}"/>
    </customSheetView>
    <customSheetView guid="{6C0BD6A7-6718-429D-82D9-D2FE0341EA2C}" showAutoFilter="1" hiddenColumns="1">
      <pane ySplit="2" topLeftCell="A72" activePane="bottomLeft" state="frozen"/>
      <selection pane="bottomLeft" activeCell="D13" sqref="D13"/>
      <pageMargins left="0" right="0" top="0" bottom="0" header="0.31496062992125984" footer="0.31496062992125984"/>
      <pageSetup paperSize="9" scale="90" orientation="portrait" r:id="rId2"/>
      <autoFilter ref="A1:AY100" xr:uid="{4A818FD8-0B4D-4A54-89B1-A7B556BC15CC}"/>
    </customSheetView>
    <customSheetView guid="{594C4AB0-8D5F-4373-9663-410F4413FE3A}" showPageBreaks="1" showAutoFilter="1" hiddenColumns="1">
      <pane ySplit="2" topLeftCell="A72" activePane="bottomLeft" state="frozen"/>
      <selection pane="bottomLeft" activeCell="D13" sqref="D13"/>
      <pageMargins left="0" right="0" top="0" bottom="0" header="0.31496062992125984" footer="0.31496062992125984"/>
      <pageSetup paperSize="9" scale="90" orientation="portrait" r:id="rId3"/>
      <autoFilter ref="A1:AY100" xr:uid="{4A82F6EC-AEE7-4CC4-BB50-3405DE202F85}"/>
    </customSheetView>
    <customSheetView guid="{DF69299D-7752-4436-A45D-28F739CEE21B}" showAutoFilter="1" hiddenColumns="1" topLeftCell="I1">
      <pane ySplit="2" topLeftCell="A3" activePane="bottomLeft" state="frozen"/>
      <selection pane="bottomLeft" activeCell="R12" sqref="R12"/>
      <pageMargins left="0" right="0" top="0" bottom="0" header="0.31496062992125984" footer="0.31496062992125984"/>
      <pageSetup paperSize="9" scale="90" orientation="portrait" r:id="rId4"/>
      <autoFilter ref="A1:AY100" xr:uid="{B5011729-3BC7-43C6-84EA-3A7343B0F0D0}"/>
    </customSheetView>
  </customSheetViews>
  <pageMargins left="0" right="0" top="0" bottom="0" header="0.31496062992125984" footer="0.31496062992125984"/>
  <pageSetup paperSize="9" scale="90" orientation="portrait" r:id="rId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J10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9.21875" defaultRowHeight="10.199999999999999" x14ac:dyDescent="0.2"/>
  <cols>
    <col min="1" max="1" width="9.77734375" style="106" bestFit="1" customWidth="1"/>
    <col min="2" max="2" width="20.21875" style="93" customWidth="1"/>
    <col min="3" max="3" width="13.21875" style="93" customWidth="1"/>
    <col min="4" max="4" width="12" style="93" customWidth="1"/>
    <col min="5" max="5" width="11.5546875" style="93" customWidth="1"/>
    <col min="6" max="6" width="10.77734375" style="93" customWidth="1"/>
    <col min="7" max="7" width="10.44140625" style="94" customWidth="1"/>
    <col min="8" max="8" width="10" style="94" customWidth="1"/>
    <col min="9" max="9" width="8.5546875" style="109" bestFit="1" customWidth="1"/>
    <col min="10" max="10" width="13.77734375" style="94" bestFit="1" customWidth="1"/>
    <col min="11" max="16384" width="9.21875" style="94"/>
  </cols>
  <sheetData>
    <row r="1" spans="1:10" x14ac:dyDescent="0.2">
      <c r="A1" s="88" t="s">
        <v>151</v>
      </c>
      <c r="B1" s="89" t="s">
        <v>152</v>
      </c>
      <c r="C1" s="89" t="s">
        <v>185</v>
      </c>
      <c r="D1" s="90" t="s">
        <v>183</v>
      </c>
      <c r="E1" s="89" t="s">
        <v>186</v>
      </c>
      <c r="F1" s="91" t="s">
        <v>184</v>
      </c>
      <c r="G1" s="92" t="s">
        <v>187</v>
      </c>
      <c r="H1" s="93" t="s">
        <v>153</v>
      </c>
      <c r="I1" s="109" t="s">
        <v>197</v>
      </c>
      <c r="J1" s="94" t="s">
        <v>198</v>
      </c>
    </row>
    <row r="2" spans="1:10" x14ac:dyDescent="0.2">
      <c r="A2" s="95" t="s">
        <v>154</v>
      </c>
      <c r="B2" s="96">
        <v>192900</v>
      </c>
      <c r="C2" s="97">
        <v>31301.52</v>
      </c>
      <c r="D2" s="98">
        <f>+C2/12*7</f>
        <v>18259.22</v>
      </c>
      <c r="E2" s="96">
        <v>17881.14</v>
      </c>
      <c r="F2" s="91">
        <f>+E2/12*7</f>
        <v>10430.665000000001</v>
      </c>
      <c r="G2" s="99">
        <f>+C2+E2</f>
        <v>49182.66</v>
      </c>
      <c r="H2" s="99">
        <f>+D2+F2</f>
        <v>28689.885000000002</v>
      </c>
      <c r="I2" s="109" t="s">
        <v>206</v>
      </c>
      <c r="J2" s="94" t="s">
        <v>199</v>
      </c>
    </row>
    <row r="3" spans="1:10" x14ac:dyDescent="0.2">
      <c r="A3" s="95" t="s">
        <v>155</v>
      </c>
      <c r="B3" s="96">
        <v>192900</v>
      </c>
      <c r="C3" s="97">
        <v>31301.52</v>
      </c>
      <c r="D3" s="98">
        <f t="shared" ref="D3:D32" si="0">+C3/12*7</f>
        <v>18259.22</v>
      </c>
      <c r="E3" s="96">
        <v>17881.14</v>
      </c>
      <c r="F3" s="91">
        <f t="shared" ref="F3:F32" si="1">+E3/12*7</f>
        <v>10430.665000000001</v>
      </c>
      <c r="G3" s="99">
        <f t="shared" ref="G3:H18" si="2">+C3+E3</f>
        <v>49182.66</v>
      </c>
      <c r="H3" s="99">
        <f t="shared" si="2"/>
        <v>28689.885000000002</v>
      </c>
      <c r="I3" s="109" t="s">
        <v>206</v>
      </c>
      <c r="J3" s="94" t="s">
        <v>199</v>
      </c>
    </row>
    <row r="4" spans="1:10" x14ac:dyDescent="0.2">
      <c r="A4" s="95" t="s">
        <v>156</v>
      </c>
      <c r="B4" s="96">
        <v>192900</v>
      </c>
      <c r="C4" s="97">
        <v>31301.52</v>
      </c>
      <c r="D4" s="98">
        <f t="shared" si="0"/>
        <v>18259.22</v>
      </c>
      <c r="E4" s="96">
        <v>17881.14</v>
      </c>
      <c r="F4" s="91">
        <f t="shared" si="1"/>
        <v>10430.665000000001</v>
      </c>
      <c r="G4" s="99">
        <f t="shared" si="2"/>
        <v>49182.66</v>
      </c>
      <c r="H4" s="99">
        <f t="shared" si="2"/>
        <v>28689.885000000002</v>
      </c>
      <c r="I4" s="109" t="s">
        <v>206</v>
      </c>
      <c r="J4" s="94" t="s">
        <v>199</v>
      </c>
    </row>
    <row r="5" spans="1:10" x14ac:dyDescent="0.2">
      <c r="A5" s="95" t="s">
        <v>157</v>
      </c>
      <c r="B5" s="96">
        <v>192900</v>
      </c>
      <c r="C5" s="97">
        <v>31301.52</v>
      </c>
      <c r="D5" s="98">
        <f t="shared" si="0"/>
        <v>18259.22</v>
      </c>
      <c r="E5" s="96">
        <v>17881.14</v>
      </c>
      <c r="F5" s="91">
        <f t="shared" si="1"/>
        <v>10430.665000000001</v>
      </c>
      <c r="G5" s="99">
        <f t="shared" si="2"/>
        <v>49182.66</v>
      </c>
      <c r="H5" s="99">
        <f t="shared" si="2"/>
        <v>28689.885000000002</v>
      </c>
      <c r="I5" s="109" t="s">
        <v>206</v>
      </c>
      <c r="J5" s="94" t="s">
        <v>199</v>
      </c>
    </row>
    <row r="6" spans="1:10" x14ac:dyDescent="0.2">
      <c r="A6" s="95" t="s">
        <v>158</v>
      </c>
      <c r="B6" s="96">
        <v>192900</v>
      </c>
      <c r="C6" s="97">
        <v>31301.52</v>
      </c>
      <c r="D6" s="98">
        <f t="shared" si="0"/>
        <v>18259.22</v>
      </c>
      <c r="E6" s="96">
        <v>17881.14</v>
      </c>
      <c r="F6" s="91">
        <f t="shared" si="1"/>
        <v>10430.665000000001</v>
      </c>
      <c r="G6" s="99">
        <f t="shared" si="2"/>
        <v>49182.66</v>
      </c>
      <c r="H6" s="99">
        <f t="shared" si="2"/>
        <v>28689.885000000002</v>
      </c>
      <c r="I6" s="109" t="s">
        <v>207</v>
      </c>
      <c r="J6" s="94" t="s">
        <v>200</v>
      </c>
    </row>
    <row r="7" spans="1:10" x14ac:dyDescent="0.2">
      <c r="A7" s="95" t="s">
        <v>159</v>
      </c>
      <c r="B7" s="96">
        <v>192900</v>
      </c>
      <c r="C7" s="97">
        <v>31301.52</v>
      </c>
      <c r="D7" s="98">
        <f t="shared" si="0"/>
        <v>18259.22</v>
      </c>
      <c r="E7" s="96">
        <v>17881.14</v>
      </c>
      <c r="F7" s="91">
        <f t="shared" si="1"/>
        <v>10430.665000000001</v>
      </c>
      <c r="G7" s="99">
        <f t="shared" si="2"/>
        <v>49182.66</v>
      </c>
      <c r="H7" s="99">
        <f t="shared" si="2"/>
        <v>28689.885000000002</v>
      </c>
      <c r="I7" s="109" t="s">
        <v>22</v>
      </c>
      <c r="J7" s="94" t="s">
        <v>199</v>
      </c>
    </row>
    <row r="8" spans="1:10" x14ac:dyDescent="0.2">
      <c r="A8" s="95" t="s">
        <v>160</v>
      </c>
      <c r="B8" s="96">
        <v>192900</v>
      </c>
      <c r="C8" s="97">
        <v>31301.52</v>
      </c>
      <c r="D8" s="98">
        <f t="shared" si="0"/>
        <v>18259.22</v>
      </c>
      <c r="E8" s="96">
        <v>17881.14</v>
      </c>
      <c r="F8" s="91">
        <f t="shared" si="1"/>
        <v>10430.665000000001</v>
      </c>
      <c r="G8" s="99">
        <f t="shared" si="2"/>
        <v>49182.66</v>
      </c>
      <c r="H8" s="99">
        <f t="shared" si="2"/>
        <v>28689.885000000002</v>
      </c>
      <c r="I8" s="109" t="s">
        <v>22</v>
      </c>
      <c r="J8" s="94" t="s">
        <v>199</v>
      </c>
    </row>
    <row r="9" spans="1:10" x14ac:dyDescent="0.2">
      <c r="A9" s="95" t="s">
        <v>161</v>
      </c>
      <c r="B9" s="96">
        <v>192900</v>
      </c>
      <c r="C9" s="97">
        <v>31301.52</v>
      </c>
      <c r="D9" s="98">
        <f t="shared" si="0"/>
        <v>18259.22</v>
      </c>
      <c r="E9" s="96">
        <v>17881.14</v>
      </c>
      <c r="F9" s="91">
        <f t="shared" si="1"/>
        <v>10430.665000000001</v>
      </c>
      <c r="G9" s="99">
        <f t="shared" si="2"/>
        <v>49182.66</v>
      </c>
      <c r="H9" s="99">
        <f t="shared" si="2"/>
        <v>28689.885000000002</v>
      </c>
      <c r="I9" s="109" t="s">
        <v>22</v>
      </c>
      <c r="J9" s="94" t="s">
        <v>199</v>
      </c>
    </row>
    <row r="10" spans="1:10" x14ac:dyDescent="0.2">
      <c r="A10" s="95" t="s">
        <v>162</v>
      </c>
      <c r="B10" s="96">
        <v>192900</v>
      </c>
      <c r="C10" s="97">
        <v>31301.52</v>
      </c>
      <c r="D10" s="98">
        <f t="shared" si="0"/>
        <v>18259.22</v>
      </c>
      <c r="E10" s="96">
        <v>17881.14</v>
      </c>
      <c r="F10" s="91">
        <f t="shared" si="1"/>
        <v>10430.665000000001</v>
      </c>
      <c r="G10" s="99">
        <f t="shared" si="2"/>
        <v>49182.66</v>
      </c>
      <c r="H10" s="99">
        <f t="shared" si="2"/>
        <v>28689.885000000002</v>
      </c>
      <c r="I10" s="109" t="s">
        <v>22</v>
      </c>
      <c r="J10" s="94" t="s">
        <v>199</v>
      </c>
    </row>
    <row r="11" spans="1:10" x14ac:dyDescent="0.2">
      <c r="A11" s="95" t="s">
        <v>163</v>
      </c>
      <c r="B11" s="96">
        <v>192900</v>
      </c>
      <c r="C11" s="97">
        <v>31301.52</v>
      </c>
      <c r="D11" s="98">
        <f t="shared" si="0"/>
        <v>18259.22</v>
      </c>
      <c r="E11" s="96">
        <v>17881.14</v>
      </c>
      <c r="F11" s="91">
        <f t="shared" si="1"/>
        <v>10430.665000000001</v>
      </c>
      <c r="G11" s="99">
        <f t="shared" si="2"/>
        <v>49182.66</v>
      </c>
      <c r="H11" s="99">
        <f t="shared" si="2"/>
        <v>28689.885000000002</v>
      </c>
      <c r="I11" s="109" t="s">
        <v>22</v>
      </c>
      <c r="J11" s="94" t="s">
        <v>199</v>
      </c>
    </row>
    <row r="12" spans="1:10" x14ac:dyDescent="0.2">
      <c r="A12" s="95" t="s">
        <v>164</v>
      </c>
      <c r="B12" s="96">
        <v>192900</v>
      </c>
      <c r="C12" s="97">
        <v>31301.52</v>
      </c>
      <c r="D12" s="98">
        <f t="shared" si="0"/>
        <v>18259.22</v>
      </c>
      <c r="E12" s="96">
        <v>17881.14</v>
      </c>
      <c r="F12" s="91">
        <f t="shared" si="1"/>
        <v>10430.665000000001</v>
      </c>
      <c r="G12" s="99">
        <f t="shared" si="2"/>
        <v>49182.66</v>
      </c>
      <c r="H12" s="99">
        <f t="shared" si="2"/>
        <v>28689.885000000002</v>
      </c>
      <c r="I12" s="109" t="s">
        <v>19</v>
      </c>
      <c r="J12" s="94" t="s">
        <v>199</v>
      </c>
    </row>
    <row r="13" spans="1:10" x14ac:dyDescent="0.2">
      <c r="A13" s="95" t="s">
        <v>165</v>
      </c>
      <c r="B13" s="96">
        <v>192900</v>
      </c>
      <c r="C13" s="97">
        <v>31301.52</v>
      </c>
      <c r="D13" s="98">
        <f t="shared" si="0"/>
        <v>18259.22</v>
      </c>
      <c r="E13" s="96">
        <v>17881.14</v>
      </c>
      <c r="F13" s="91">
        <f t="shared" si="1"/>
        <v>10430.665000000001</v>
      </c>
      <c r="G13" s="99">
        <f t="shared" si="2"/>
        <v>49182.66</v>
      </c>
      <c r="H13" s="99">
        <f t="shared" si="2"/>
        <v>28689.885000000002</v>
      </c>
      <c r="I13" s="109" t="s">
        <v>206</v>
      </c>
      <c r="J13" s="94" t="s">
        <v>199</v>
      </c>
    </row>
    <row r="14" spans="1:10" x14ac:dyDescent="0.2">
      <c r="A14" s="95" t="s">
        <v>166</v>
      </c>
      <c r="B14" s="96">
        <v>192900</v>
      </c>
      <c r="C14" s="97">
        <v>31301.52</v>
      </c>
      <c r="D14" s="98">
        <f t="shared" si="0"/>
        <v>18259.22</v>
      </c>
      <c r="E14" s="96">
        <v>17881.14</v>
      </c>
      <c r="F14" s="91">
        <f t="shared" si="1"/>
        <v>10430.665000000001</v>
      </c>
      <c r="G14" s="99">
        <f t="shared" si="2"/>
        <v>49182.66</v>
      </c>
      <c r="H14" s="99">
        <f t="shared" si="2"/>
        <v>28689.885000000002</v>
      </c>
      <c r="I14" s="109" t="s">
        <v>207</v>
      </c>
      <c r="J14" s="94" t="s">
        <v>200</v>
      </c>
    </row>
    <row r="15" spans="1:10" x14ac:dyDescent="0.2">
      <c r="A15" s="95" t="s">
        <v>167</v>
      </c>
      <c r="B15" s="96">
        <v>192900</v>
      </c>
      <c r="C15" s="97">
        <v>31301.52</v>
      </c>
      <c r="D15" s="98">
        <f t="shared" si="0"/>
        <v>18259.22</v>
      </c>
      <c r="E15" s="96">
        <v>17881.14</v>
      </c>
      <c r="F15" s="91">
        <f t="shared" si="1"/>
        <v>10430.665000000001</v>
      </c>
      <c r="G15" s="99">
        <f t="shared" si="2"/>
        <v>49182.66</v>
      </c>
      <c r="H15" s="99">
        <f t="shared" si="2"/>
        <v>28689.885000000002</v>
      </c>
      <c r="I15" s="109" t="s">
        <v>35</v>
      </c>
      <c r="J15" s="94" t="s">
        <v>199</v>
      </c>
    </row>
    <row r="16" spans="1:10" x14ac:dyDescent="0.2">
      <c r="A16" s="95" t="s">
        <v>168</v>
      </c>
      <c r="B16" s="96">
        <v>180400</v>
      </c>
      <c r="C16" s="96">
        <v>29273.17</v>
      </c>
      <c r="D16" s="98">
        <f t="shared" si="0"/>
        <v>17076.015833333335</v>
      </c>
      <c r="E16" s="96">
        <v>16722.43</v>
      </c>
      <c r="F16" s="91">
        <f t="shared" si="1"/>
        <v>9754.7508333333335</v>
      </c>
      <c r="G16" s="99">
        <f t="shared" si="2"/>
        <v>45995.6</v>
      </c>
      <c r="H16" s="99">
        <f t="shared" si="2"/>
        <v>26830.76666666667</v>
      </c>
      <c r="I16" s="109" t="s">
        <v>19</v>
      </c>
      <c r="J16" s="94" t="s">
        <v>101</v>
      </c>
    </row>
    <row r="17" spans="1:10" x14ac:dyDescent="0.2">
      <c r="A17" s="95" t="s">
        <v>169</v>
      </c>
      <c r="B17" s="96">
        <v>282200</v>
      </c>
      <c r="C17" s="96">
        <v>45792.06</v>
      </c>
      <c r="D17" s="98">
        <f t="shared" si="0"/>
        <v>26712.034999999996</v>
      </c>
      <c r="E17" s="96">
        <v>26158.93</v>
      </c>
      <c r="F17" s="91">
        <f t="shared" si="1"/>
        <v>15259.375833333334</v>
      </c>
      <c r="G17" s="99">
        <f t="shared" si="2"/>
        <v>71950.989999999991</v>
      </c>
      <c r="H17" s="99">
        <f t="shared" si="2"/>
        <v>41971.410833333328</v>
      </c>
      <c r="I17" s="109" t="s">
        <v>208</v>
      </c>
      <c r="J17" s="94" t="s">
        <v>201</v>
      </c>
    </row>
    <row r="18" spans="1:10" x14ac:dyDescent="0.2">
      <c r="A18" s="95" t="s">
        <v>170</v>
      </c>
      <c r="B18" s="96">
        <v>282200</v>
      </c>
      <c r="C18" s="96">
        <v>45792.06</v>
      </c>
      <c r="D18" s="98">
        <f t="shared" si="0"/>
        <v>26712.034999999996</v>
      </c>
      <c r="E18" s="96">
        <v>26158.93</v>
      </c>
      <c r="F18" s="91">
        <f t="shared" si="1"/>
        <v>15259.375833333334</v>
      </c>
      <c r="G18" s="99">
        <f t="shared" si="2"/>
        <v>71950.989999999991</v>
      </c>
      <c r="H18" s="99">
        <f t="shared" si="2"/>
        <v>41971.410833333328</v>
      </c>
      <c r="I18" s="109" t="s">
        <v>208</v>
      </c>
      <c r="J18" s="94" t="s">
        <v>201</v>
      </c>
    </row>
    <row r="19" spans="1:10" x14ac:dyDescent="0.2">
      <c r="A19" s="95" t="s">
        <v>171</v>
      </c>
      <c r="B19" s="96">
        <v>282200</v>
      </c>
      <c r="C19" s="96">
        <v>45792.06</v>
      </c>
      <c r="D19" s="98">
        <f t="shared" si="0"/>
        <v>26712.034999999996</v>
      </c>
      <c r="E19" s="96">
        <v>26158.93</v>
      </c>
      <c r="F19" s="91">
        <f t="shared" si="1"/>
        <v>15259.375833333334</v>
      </c>
      <c r="G19" s="99">
        <f t="shared" ref="G19:H30" si="3">+C19+E19</f>
        <v>71950.989999999991</v>
      </c>
      <c r="H19" s="99">
        <f t="shared" si="3"/>
        <v>41971.410833333328</v>
      </c>
      <c r="I19" s="109" t="s">
        <v>208</v>
      </c>
      <c r="J19" s="94" t="s">
        <v>201</v>
      </c>
    </row>
    <row r="20" spans="1:10" x14ac:dyDescent="0.2">
      <c r="A20" s="95" t="s">
        <v>172</v>
      </c>
      <c r="B20" s="96">
        <v>282200</v>
      </c>
      <c r="C20" s="96">
        <v>45792.06</v>
      </c>
      <c r="D20" s="98">
        <f t="shared" si="0"/>
        <v>26712.034999999996</v>
      </c>
      <c r="E20" s="96">
        <v>26158.93</v>
      </c>
      <c r="F20" s="91">
        <f t="shared" si="1"/>
        <v>15259.375833333334</v>
      </c>
      <c r="G20" s="99">
        <f t="shared" si="3"/>
        <v>71950.989999999991</v>
      </c>
      <c r="H20" s="99">
        <f t="shared" si="3"/>
        <v>41971.410833333328</v>
      </c>
      <c r="I20" s="109" t="s">
        <v>208</v>
      </c>
      <c r="J20" s="94" t="s">
        <v>201</v>
      </c>
    </row>
    <row r="21" spans="1:10" x14ac:dyDescent="0.2">
      <c r="A21" s="95" t="s">
        <v>173</v>
      </c>
      <c r="B21" s="96">
        <v>282200</v>
      </c>
      <c r="C21" s="96">
        <v>45792.06</v>
      </c>
      <c r="D21" s="98">
        <f t="shared" si="0"/>
        <v>26712.034999999996</v>
      </c>
      <c r="E21" s="96">
        <v>26158.93</v>
      </c>
      <c r="F21" s="91">
        <f t="shared" si="1"/>
        <v>15259.375833333334</v>
      </c>
      <c r="G21" s="99">
        <f t="shared" si="3"/>
        <v>71950.989999999991</v>
      </c>
      <c r="H21" s="99">
        <f t="shared" si="3"/>
        <v>41971.410833333328</v>
      </c>
      <c r="I21" s="109" t="s">
        <v>208</v>
      </c>
      <c r="J21" s="94" t="s">
        <v>201</v>
      </c>
    </row>
    <row r="22" spans="1:10" x14ac:dyDescent="0.2">
      <c r="A22" s="95" t="s">
        <v>174</v>
      </c>
      <c r="B22" s="96">
        <v>282200</v>
      </c>
      <c r="C22" s="96">
        <v>45792.06</v>
      </c>
      <c r="D22" s="98">
        <f t="shared" si="0"/>
        <v>26712.034999999996</v>
      </c>
      <c r="E22" s="96">
        <v>26158.93</v>
      </c>
      <c r="F22" s="91">
        <f t="shared" si="1"/>
        <v>15259.375833333334</v>
      </c>
      <c r="G22" s="99">
        <f t="shared" si="3"/>
        <v>71950.989999999991</v>
      </c>
      <c r="H22" s="99">
        <f t="shared" si="3"/>
        <v>41971.410833333328</v>
      </c>
      <c r="I22" s="109" t="s">
        <v>208</v>
      </c>
      <c r="J22" s="94" t="s">
        <v>201</v>
      </c>
    </row>
    <row r="23" spans="1:10" x14ac:dyDescent="0.2">
      <c r="A23" s="95" t="s">
        <v>175</v>
      </c>
      <c r="B23" s="96">
        <v>282200</v>
      </c>
      <c r="C23" s="96">
        <v>45792.06</v>
      </c>
      <c r="D23" s="98">
        <f t="shared" si="0"/>
        <v>26712.034999999996</v>
      </c>
      <c r="E23" s="96">
        <v>26158.93</v>
      </c>
      <c r="F23" s="91">
        <f t="shared" si="1"/>
        <v>15259.375833333334</v>
      </c>
      <c r="G23" s="99">
        <f t="shared" si="3"/>
        <v>71950.989999999991</v>
      </c>
      <c r="H23" s="99">
        <f t="shared" si="3"/>
        <v>41971.410833333328</v>
      </c>
      <c r="I23" s="109" t="s">
        <v>208</v>
      </c>
      <c r="J23" s="94" t="s">
        <v>201</v>
      </c>
    </row>
    <row r="24" spans="1:10" x14ac:dyDescent="0.2">
      <c r="A24" s="95" t="s">
        <v>176</v>
      </c>
      <c r="B24" s="96">
        <v>282200</v>
      </c>
      <c r="C24" s="96">
        <v>45792.06</v>
      </c>
      <c r="D24" s="98">
        <f t="shared" si="0"/>
        <v>26712.034999999996</v>
      </c>
      <c r="E24" s="96">
        <v>26158.93</v>
      </c>
      <c r="F24" s="91">
        <f t="shared" si="1"/>
        <v>15259.375833333334</v>
      </c>
      <c r="G24" s="99">
        <f t="shared" si="3"/>
        <v>71950.989999999991</v>
      </c>
      <c r="H24" s="99">
        <f t="shared" si="3"/>
        <v>41971.410833333328</v>
      </c>
      <c r="I24" s="109" t="s">
        <v>208</v>
      </c>
      <c r="J24" s="94" t="s">
        <v>201</v>
      </c>
    </row>
    <row r="25" spans="1:10" x14ac:dyDescent="0.2">
      <c r="A25" s="95" t="s">
        <v>177</v>
      </c>
      <c r="B25" s="96">
        <v>282200</v>
      </c>
      <c r="C25" s="96">
        <v>45792.06</v>
      </c>
      <c r="D25" s="98">
        <f t="shared" si="0"/>
        <v>26712.034999999996</v>
      </c>
      <c r="E25" s="96">
        <v>26158.93</v>
      </c>
      <c r="F25" s="91">
        <f t="shared" si="1"/>
        <v>15259.375833333334</v>
      </c>
      <c r="G25" s="99">
        <f t="shared" si="3"/>
        <v>71950.989999999991</v>
      </c>
      <c r="H25" s="99">
        <f t="shared" si="3"/>
        <v>41971.410833333328</v>
      </c>
      <c r="I25" s="109" t="s">
        <v>208</v>
      </c>
      <c r="J25" s="94" t="s">
        <v>201</v>
      </c>
    </row>
    <row r="26" spans="1:10" x14ac:dyDescent="0.2">
      <c r="A26" s="95" t="s">
        <v>178</v>
      </c>
      <c r="B26" s="96">
        <v>440900</v>
      </c>
      <c r="C26" s="96">
        <v>71544.009999999995</v>
      </c>
      <c r="D26" s="98">
        <f t="shared" si="0"/>
        <v>41734.005833333329</v>
      </c>
      <c r="E26" s="96">
        <v>40869.85</v>
      </c>
      <c r="F26" s="91">
        <f t="shared" si="1"/>
        <v>23840.745833333334</v>
      </c>
      <c r="G26" s="99">
        <f t="shared" si="3"/>
        <v>112413.85999999999</v>
      </c>
      <c r="H26" s="99">
        <f t="shared" si="3"/>
        <v>65574.751666666663</v>
      </c>
      <c r="I26" s="109" t="s">
        <v>207</v>
      </c>
      <c r="J26" s="94" t="s">
        <v>202</v>
      </c>
    </row>
    <row r="27" spans="1:10" x14ac:dyDescent="0.2">
      <c r="A27" s="95" t="s">
        <v>179</v>
      </c>
      <c r="B27" s="96">
        <v>440900</v>
      </c>
      <c r="C27" s="96">
        <v>71544.009999999995</v>
      </c>
      <c r="D27" s="98">
        <f t="shared" si="0"/>
        <v>41734.005833333329</v>
      </c>
      <c r="E27" s="96">
        <v>40869.85</v>
      </c>
      <c r="F27" s="91">
        <f t="shared" si="1"/>
        <v>23840.745833333334</v>
      </c>
      <c r="G27" s="99">
        <f t="shared" si="3"/>
        <v>112413.85999999999</v>
      </c>
      <c r="H27" s="99">
        <f t="shared" si="3"/>
        <v>65574.751666666663</v>
      </c>
      <c r="I27" s="109" t="s">
        <v>206</v>
      </c>
      <c r="J27" s="94" t="s">
        <v>202</v>
      </c>
    </row>
    <row r="28" spans="1:10" x14ac:dyDescent="0.2">
      <c r="A28" s="95" t="s">
        <v>180</v>
      </c>
      <c r="B28" s="96">
        <v>440900</v>
      </c>
      <c r="C28" s="96">
        <v>71544.009999999995</v>
      </c>
      <c r="D28" s="98">
        <f t="shared" si="0"/>
        <v>41734.005833333329</v>
      </c>
      <c r="E28" s="96">
        <v>40869.85</v>
      </c>
      <c r="F28" s="91">
        <f t="shared" si="1"/>
        <v>23840.745833333334</v>
      </c>
      <c r="G28" s="99">
        <f t="shared" si="3"/>
        <v>112413.85999999999</v>
      </c>
      <c r="H28" s="99">
        <f t="shared" si="3"/>
        <v>65574.751666666663</v>
      </c>
      <c r="I28" s="109" t="s">
        <v>206</v>
      </c>
      <c r="J28" s="94" t="s">
        <v>202</v>
      </c>
    </row>
    <row r="29" spans="1:10" x14ac:dyDescent="0.2">
      <c r="A29" s="95" t="s">
        <v>181</v>
      </c>
      <c r="B29" s="96">
        <v>520200</v>
      </c>
      <c r="C29" s="96">
        <v>84411.88</v>
      </c>
      <c r="D29" s="98">
        <f t="shared" si="0"/>
        <v>49240.263333333336</v>
      </c>
      <c r="E29" s="96">
        <v>48220.68</v>
      </c>
      <c r="F29" s="91">
        <f t="shared" si="1"/>
        <v>28128.73</v>
      </c>
      <c r="G29" s="99">
        <f t="shared" si="3"/>
        <v>132632.56</v>
      </c>
      <c r="H29" s="99">
        <f t="shared" si="3"/>
        <v>77368.993333333332</v>
      </c>
      <c r="I29" s="109" t="s">
        <v>22</v>
      </c>
      <c r="J29" s="94" t="s">
        <v>203</v>
      </c>
    </row>
    <row r="30" spans="1:10" x14ac:dyDescent="0.2">
      <c r="A30" s="100">
        <v>298</v>
      </c>
      <c r="B30" s="96">
        <v>1272793</v>
      </c>
      <c r="C30" s="96">
        <v>206533.73</v>
      </c>
      <c r="D30" s="98">
        <f t="shared" si="0"/>
        <v>120478.00916666668</v>
      </c>
      <c r="E30" s="96">
        <v>117983.35</v>
      </c>
      <c r="F30" s="91">
        <f t="shared" si="1"/>
        <v>68823.620833333334</v>
      </c>
      <c r="G30" s="99">
        <f t="shared" si="3"/>
        <v>324517.08</v>
      </c>
      <c r="H30" s="99">
        <f t="shared" si="3"/>
        <v>189301.63</v>
      </c>
      <c r="I30" s="109" t="s">
        <v>206</v>
      </c>
      <c r="J30" s="94" t="s">
        <v>204</v>
      </c>
    </row>
    <row r="31" spans="1:10" x14ac:dyDescent="0.2">
      <c r="A31" s="100">
        <v>292</v>
      </c>
      <c r="B31" s="96">
        <v>282200</v>
      </c>
      <c r="C31" s="96">
        <v>45792.06</v>
      </c>
      <c r="D31" s="98">
        <f t="shared" si="0"/>
        <v>26712.034999999996</v>
      </c>
      <c r="E31" s="96">
        <v>26158.93</v>
      </c>
      <c r="F31" s="91">
        <f t="shared" si="1"/>
        <v>15259.375833333334</v>
      </c>
      <c r="G31" s="99">
        <f>+C31+E31</f>
        <v>71950.989999999991</v>
      </c>
      <c r="H31" s="99">
        <f>+D31+F31</f>
        <v>41971.410833333328</v>
      </c>
      <c r="I31" s="109" t="s">
        <v>19</v>
      </c>
      <c r="J31" s="94" t="s">
        <v>205</v>
      </c>
    </row>
    <row r="32" spans="1:10" x14ac:dyDescent="0.2">
      <c r="A32" s="100">
        <v>293</v>
      </c>
      <c r="B32" s="96">
        <v>282200</v>
      </c>
      <c r="C32" s="96">
        <v>45792.06</v>
      </c>
      <c r="D32" s="98">
        <f t="shared" si="0"/>
        <v>26712.034999999996</v>
      </c>
      <c r="E32" s="96">
        <v>26158.93</v>
      </c>
      <c r="F32" s="91">
        <f t="shared" si="1"/>
        <v>15259.375833333334</v>
      </c>
      <c r="G32" s="99">
        <f>+C32+E32</f>
        <v>71950.989999999991</v>
      </c>
      <c r="H32" s="99">
        <f>+D32+F32</f>
        <v>41971.410833333328</v>
      </c>
      <c r="I32" s="109" t="s">
        <v>19</v>
      </c>
      <c r="J32" s="94" t="s">
        <v>205</v>
      </c>
    </row>
    <row r="33" spans="1:9" x14ac:dyDescent="0.2">
      <c r="A33" s="101">
        <v>15</v>
      </c>
      <c r="B33" s="102">
        <v>282200</v>
      </c>
      <c r="C33" s="90">
        <v>45792.06</v>
      </c>
      <c r="D33" s="102"/>
      <c r="E33" s="90">
        <v>26158.93</v>
      </c>
      <c r="F33" s="103"/>
      <c r="G33" s="99">
        <f t="shared" ref="G33:G93" si="4">+C33+E33</f>
        <v>71950.989999999991</v>
      </c>
      <c r="H33" s="99">
        <f t="shared" ref="H33:H93" si="5">+D33+F33</f>
        <v>0</v>
      </c>
      <c r="I33" s="109" t="s">
        <v>35</v>
      </c>
    </row>
    <row r="34" spans="1:9" x14ac:dyDescent="0.2">
      <c r="A34" s="101">
        <v>32</v>
      </c>
      <c r="B34" s="102">
        <v>282200</v>
      </c>
      <c r="C34" s="90">
        <v>45792.06</v>
      </c>
      <c r="D34" s="102"/>
      <c r="E34" s="90">
        <v>26158.93</v>
      </c>
      <c r="F34" s="103"/>
      <c r="G34" s="99">
        <f t="shared" si="4"/>
        <v>71950.989999999991</v>
      </c>
      <c r="H34" s="99">
        <f t="shared" si="5"/>
        <v>0</v>
      </c>
      <c r="I34" s="109" t="s">
        <v>206</v>
      </c>
    </row>
    <row r="35" spans="1:9" x14ac:dyDescent="0.2">
      <c r="A35" s="101">
        <v>44</v>
      </c>
      <c r="B35" s="102">
        <v>440900</v>
      </c>
      <c r="C35" s="90">
        <v>71544.009999999995</v>
      </c>
      <c r="D35" s="102"/>
      <c r="E35" s="90">
        <v>40869.85</v>
      </c>
      <c r="F35" s="103"/>
      <c r="G35" s="99">
        <f t="shared" si="4"/>
        <v>112413.85999999999</v>
      </c>
      <c r="H35" s="99">
        <f t="shared" si="5"/>
        <v>0</v>
      </c>
      <c r="I35" s="109" t="s">
        <v>208</v>
      </c>
    </row>
    <row r="36" spans="1:9" x14ac:dyDescent="0.2">
      <c r="A36" s="101">
        <v>45</v>
      </c>
      <c r="B36" s="102">
        <v>440900</v>
      </c>
      <c r="C36" s="90">
        <v>71544.009999999995</v>
      </c>
      <c r="D36" s="102"/>
      <c r="E36" s="90">
        <v>40869.85</v>
      </c>
      <c r="F36" s="103"/>
      <c r="G36" s="99">
        <f t="shared" si="4"/>
        <v>112413.85999999999</v>
      </c>
      <c r="H36" s="99">
        <f t="shared" si="5"/>
        <v>0</v>
      </c>
      <c r="I36" s="109" t="s">
        <v>208</v>
      </c>
    </row>
    <row r="37" spans="1:9" x14ac:dyDescent="0.2">
      <c r="A37" s="101">
        <v>46</v>
      </c>
      <c r="B37" s="102">
        <v>440900</v>
      </c>
      <c r="C37" s="90">
        <v>71544.009999999995</v>
      </c>
      <c r="D37" s="102"/>
      <c r="E37" s="90">
        <v>40869.85</v>
      </c>
      <c r="F37" s="103"/>
      <c r="G37" s="99">
        <f t="shared" si="4"/>
        <v>112413.85999999999</v>
      </c>
      <c r="H37" s="99">
        <f t="shared" si="5"/>
        <v>0</v>
      </c>
      <c r="I37" s="109" t="s">
        <v>206</v>
      </c>
    </row>
    <row r="38" spans="1:9" x14ac:dyDescent="0.2">
      <c r="A38" s="101">
        <v>47</v>
      </c>
      <c r="B38" s="102">
        <v>440900</v>
      </c>
      <c r="C38" s="90">
        <v>71544.009999999995</v>
      </c>
      <c r="D38" s="102"/>
      <c r="E38" s="90">
        <v>40869.85</v>
      </c>
      <c r="F38" s="103"/>
      <c r="G38" s="99">
        <f t="shared" si="4"/>
        <v>112413.85999999999</v>
      </c>
      <c r="H38" s="99">
        <f t="shared" si="5"/>
        <v>0</v>
      </c>
      <c r="I38" s="109" t="s">
        <v>208</v>
      </c>
    </row>
    <row r="39" spans="1:9" x14ac:dyDescent="0.2">
      <c r="A39" s="101">
        <v>48</v>
      </c>
      <c r="B39" s="102">
        <v>440900</v>
      </c>
      <c r="C39" s="90">
        <v>71544.009999999995</v>
      </c>
      <c r="D39" s="102"/>
      <c r="E39" s="90">
        <v>40869.85</v>
      </c>
      <c r="F39" s="103"/>
      <c r="G39" s="99">
        <f t="shared" si="4"/>
        <v>112413.85999999999</v>
      </c>
      <c r="H39" s="99">
        <f t="shared" si="5"/>
        <v>0</v>
      </c>
      <c r="I39" s="109" t="s">
        <v>208</v>
      </c>
    </row>
    <row r="40" spans="1:9" x14ac:dyDescent="0.2">
      <c r="A40" s="101">
        <v>49</v>
      </c>
      <c r="B40" s="102">
        <v>440900</v>
      </c>
      <c r="C40" s="90">
        <v>71544.009999999995</v>
      </c>
      <c r="D40" s="102"/>
      <c r="E40" s="90">
        <v>40869.85</v>
      </c>
      <c r="F40" s="103"/>
      <c r="G40" s="99">
        <f t="shared" si="4"/>
        <v>112413.85999999999</v>
      </c>
      <c r="H40" s="99">
        <f t="shared" si="5"/>
        <v>0</v>
      </c>
      <c r="I40" s="109" t="s">
        <v>208</v>
      </c>
    </row>
    <row r="41" spans="1:9" x14ac:dyDescent="0.2">
      <c r="A41" s="101">
        <v>50</v>
      </c>
      <c r="B41" s="102">
        <v>1343376</v>
      </c>
      <c r="C41" s="90">
        <v>217987.1</v>
      </c>
      <c r="D41" s="102"/>
      <c r="E41" s="90">
        <v>124526.14</v>
      </c>
      <c r="F41" s="103"/>
      <c r="G41" s="99">
        <f t="shared" si="4"/>
        <v>342513.24</v>
      </c>
      <c r="H41" s="99">
        <f t="shared" si="5"/>
        <v>0</v>
      </c>
      <c r="I41" s="109" t="s">
        <v>208</v>
      </c>
    </row>
    <row r="42" spans="1:9" x14ac:dyDescent="0.2">
      <c r="A42" s="101">
        <v>51</v>
      </c>
      <c r="B42" s="102">
        <v>440900</v>
      </c>
      <c r="C42" s="90">
        <v>71544.009999999995</v>
      </c>
      <c r="D42" s="102"/>
      <c r="E42" s="90">
        <v>40869.85</v>
      </c>
      <c r="F42" s="103"/>
      <c r="G42" s="99">
        <f t="shared" si="4"/>
        <v>112413.85999999999</v>
      </c>
      <c r="H42" s="99">
        <f t="shared" si="5"/>
        <v>0</v>
      </c>
      <c r="I42" s="109" t="s">
        <v>208</v>
      </c>
    </row>
    <row r="43" spans="1:9" x14ac:dyDescent="0.2">
      <c r="A43" s="101">
        <v>52</v>
      </c>
      <c r="B43" s="102">
        <v>540200</v>
      </c>
      <c r="C43" s="90">
        <v>87657.24</v>
      </c>
      <c r="D43" s="102"/>
      <c r="E43" s="90">
        <v>50074.6</v>
      </c>
      <c r="F43" s="103"/>
      <c r="G43" s="99">
        <f t="shared" si="4"/>
        <v>137731.84</v>
      </c>
      <c r="H43" s="99">
        <f t="shared" si="5"/>
        <v>0</v>
      </c>
      <c r="I43" s="109" t="s">
        <v>208</v>
      </c>
    </row>
    <row r="44" spans="1:9" x14ac:dyDescent="0.2">
      <c r="A44" s="101">
        <v>53</v>
      </c>
      <c r="B44" s="102">
        <v>540200</v>
      </c>
      <c r="C44" s="90">
        <v>87657.24</v>
      </c>
      <c r="D44" s="102"/>
      <c r="E44" s="90">
        <v>50074.6</v>
      </c>
      <c r="F44" s="103"/>
      <c r="G44" s="99">
        <f t="shared" si="4"/>
        <v>137731.84</v>
      </c>
      <c r="H44" s="99">
        <f t="shared" si="5"/>
        <v>0</v>
      </c>
      <c r="I44" s="109" t="s">
        <v>208</v>
      </c>
    </row>
    <row r="45" spans="1:9" x14ac:dyDescent="0.2">
      <c r="A45" s="101">
        <v>55</v>
      </c>
      <c r="B45" s="102">
        <v>440900</v>
      </c>
      <c r="C45" s="90">
        <v>71544.009999999995</v>
      </c>
      <c r="D45" s="102"/>
      <c r="E45" s="90">
        <v>40869.85</v>
      </c>
      <c r="F45" s="103"/>
      <c r="G45" s="99">
        <f t="shared" si="4"/>
        <v>112413.85999999999</v>
      </c>
      <c r="H45" s="99">
        <f t="shared" si="5"/>
        <v>0</v>
      </c>
      <c r="I45" s="109" t="s">
        <v>208</v>
      </c>
    </row>
    <row r="46" spans="1:9" x14ac:dyDescent="0.2">
      <c r="A46" s="101">
        <v>72</v>
      </c>
      <c r="B46" s="102">
        <v>440900</v>
      </c>
      <c r="C46" s="90">
        <v>71544.009999999995</v>
      </c>
      <c r="D46" s="102"/>
      <c r="E46" s="90">
        <v>40869.85</v>
      </c>
      <c r="F46" s="103"/>
      <c r="G46" s="99">
        <f t="shared" si="4"/>
        <v>112413.85999999999</v>
      </c>
      <c r="H46" s="99">
        <f t="shared" si="5"/>
        <v>0</v>
      </c>
      <c r="I46" s="109" t="s">
        <v>22</v>
      </c>
    </row>
    <row r="47" spans="1:9" x14ac:dyDescent="0.2">
      <c r="A47" s="101">
        <v>73</v>
      </c>
      <c r="B47" s="102">
        <v>440900</v>
      </c>
      <c r="C47" s="90">
        <v>71544.009999999995</v>
      </c>
      <c r="D47" s="102"/>
      <c r="E47" s="90">
        <v>40869.85</v>
      </c>
      <c r="F47" s="103"/>
      <c r="G47" s="99">
        <f t="shared" si="4"/>
        <v>112413.85999999999</v>
      </c>
      <c r="H47" s="99">
        <f t="shared" si="5"/>
        <v>0</v>
      </c>
      <c r="I47" s="109" t="s">
        <v>206</v>
      </c>
    </row>
    <row r="48" spans="1:9" x14ac:dyDescent="0.2">
      <c r="A48" s="101">
        <v>74</v>
      </c>
      <c r="B48" s="102">
        <v>440900</v>
      </c>
      <c r="C48" s="90">
        <v>71544.009999999995</v>
      </c>
      <c r="D48" s="102"/>
      <c r="E48" s="90">
        <v>40869.85</v>
      </c>
      <c r="F48" s="103"/>
      <c r="G48" s="99">
        <f t="shared" si="4"/>
        <v>112413.85999999999</v>
      </c>
      <c r="H48" s="99">
        <f t="shared" si="5"/>
        <v>0</v>
      </c>
      <c r="I48" s="109" t="s">
        <v>22</v>
      </c>
    </row>
    <row r="49" spans="1:9" x14ac:dyDescent="0.2">
      <c r="A49" s="101">
        <v>75</v>
      </c>
      <c r="B49" s="102">
        <v>440900</v>
      </c>
      <c r="C49" s="90">
        <v>71544.009999999995</v>
      </c>
      <c r="D49" s="102"/>
      <c r="E49" s="90">
        <v>40869.85</v>
      </c>
      <c r="F49" s="103"/>
      <c r="G49" s="99">
        <f t="shared" si="4"/>
        <v>112413.85999999999</v>
      </c>
      <c r="H49" s="99">
        <f t="shared" si="5"/>
        <v>0</v>
      </c>
      <c r="I49" s="109" t="s">
        <v>207</v>
      </c>
    </row>
    <row r="50" spans="1:9" x14ac:dyDescent="0.2">
      <c r="A50" s="101">
        <v>115</v>
      </c>
      <c r="B50" s="102">
        <v>480900</v>
      </c>
      <c r="C50" s="90">
        <v>78034.740000000005</v>
      </c>
      <c r="D50" s="102"/>
      <c r="E50" s="90">
        <v>44577.71</v>
      </c>
      <c r="F50" s="103"/>
      <c r="G50" s="99">
        <f t="shared" si="4"/>
        <v>122612.45000000001</v>
      </c>
      <c r="H50" s="99">
        <f t="shared" si="5"/>
        <v>0</v>
      </c>
      <c r="I50" s="109" t="s">
        <v>22</v>
      </c>
    </row>
    <row r="51" spans="1:9" x14ac:dyDescent="0.2">
      <c r="A51" s="101">
        <v>116</v>
      </c>
      <c r="B51" s="102">
        <v>440900</v>
      </c>
      <c r="C51" s="90">
        <v>71544.009999999995</v>
      </c>
      <c r="D51" s="102"/>
      <c r="E51" s="90">
        <v>40869.85</v>
      </c>
      <c r="F51" s="103"/>
      <c r="G51" s="99">
        <f t="shared" si="4"/>
        <v>112413.85999999999</v>
      </c>
      <c r="H51" s="99">
        <f t="shared" si="5"/>
        <v>0</v>
      </c>
      <c r="I51" s="109" t="s">
        <v>206</v>
      </c>
    </row>
    <row r="52" spans="1:9" x14ac:dyDescent="0.2">
      <c r="A52" s="101">
        <v>128</v>
      </c>
      <c r="B52" s="102">
        <v>440900</v>
      </c>
      <c r="C52" s="90">
        <v>71544.009999999995</v>
      </c>
      <c r="D52" s="102"/>
      <c r="E52" s="90">
        <v>40869.85</v>
      </c>
      <c r="F52" s="103"/>
      <c r="G52" s="99">
        <f t="shared" si="4"/>
        <v>112413.85999999999</v>
      </c>
      <c r="H52" s="99">
        <f t="shared" si="5"/>
        <v>0</v>
      </c>
      <c r="I52" s="109" t="s">
        <v>207</v>
      </c>
    </row>
    <row r="53" spans="1:9" x14ac:dyDescent="0.2">
      <c r="A53" s="101">
        <v>129</v>
      </c>
      <c r="B53" s="102">
        <v>282200</v>
      </c>
      <c r="C53" s="90">
        <v>45792.06</v>
      </c>
      <c r="D53" s="102"/>
      <c r="E53" s="90">
        <v>26158.93</v>
      </c>
      <c r="F53" s="103"/>
      <c r="G53" s="99">
        <f t="shared" si="4"/>
        <v>71950.989999999991</v>
      </c>
      <c r="H53" s="99">
        <f t="shared" si="5"/>
        <v>0</v>
      </c>
      <c r="I53" s="109" t="s">
        <v>208</v>
      </c>
    </row>
    <row r="54" spans="1:9" x14ac:dyDescent="0.2">
      <c r="A54" s="101">
        <v>131</v>
      </c>
      <c r="B54" s="102">
        <v>540200</v>
      </c>
      <c r="C54" s="90">
        <v>87657.24</v>
      </c>
      <c r="D54" s="102"/>
      <c r="E54" s="90">
        <v>50074.6</v>
      </c>
      <c r="F54" s="103"/>
      <c r="G54" s="99">
        <f t="shared" si="4"/>
        <v>137731.84</v>
      </c>
      <c r="H54" s="99">
        <f t="shared" si="5"/>
        <v>0</v>
      </c>
      <c r="I54" s="109" t="s">
        <v>207</v>
      </c>
    </row>
    <row r="55" spans="1:9" x14ac:dyDescent="0.2">
      <c r="A55" s="101">
        <v>136</v>
      </c>
      <c r="B55" s="102">
        <v>180400</v>
      </c>
      <c r="C55" s="90">
        <v>29273.17</v>
      </c>
      <c r="D55" s="102"/>
      <c r="E55" s="90">
        <v>16722.43</v>
      </c>
      <c r="F55" s="103"/>
      <c r="G55" s="99">
        <f>+C55+E55</f>
        <v>45995.6</v>
      </c>
      <c r="H55" s="99">
        <f t="shared" si="5"/>
        <v>0</v>
      </c>
    </row>
    <row r="56" spans="1:9" x14ac:dyDescent="0.2">
      <c r="A56" s="101">
        <v>137</v>
      </c>
      <c r="B56" s="102">
        <v>180400</v>
      </c>
      <c r="C56" s="90">
        <v>29273.17</v>
      </c>
      <c r="D56" s="102"/>
      <c r="E56" s="90">
        <v>16722.43</v>
      </c>
      <c r="F56" s="103"/>
      <c r="G56" s="99">
        <f t="shared" si="4"/>
        <v>45995.6</v>
      </c>
      <c r="H56" s="99">
        <f t="shared" si="5"/>
        <v>0</v>
      </c>
    </row>
    <row r="57" spans="1:9" x14ac:dyDescent="0.2">
      <c r="A57" s="101">
        <v>138</v>
      </c>
      <c r="B57" s="102">
        <v>440900</v>
      </c>
      <c r="C57" s="90">
        <v>71544.009999999995</v>
      </c>
      <c r="D57" s="102"/>
      <c r="E57" s="90">
        <v>40869.85</v>
      </c>
      <c r="F57" s="103"/>
      <c r="G57" s="99">
        <f t="shared" si="4"/>
        <v>112413.85999999999</v>
      </c>
      <c r="H57" s="99">
        <f t="shared" si="5"/>
        <v>0</v>
      </c>
      <c r="I57" s="109" t="s">
        <v>207</v>
      </c>
    </row>
    <row r="58" spans="1:9" x14ac:dyDescent="0.2">
      <c r="A58" s="101">
        <v>141</v>
      </c>
      <c r="B58" s="102">
        <v>192900</v>
      </c>
      <c r="C58" s="98">
        <v>31301.52</v>
      </c>
      <c r="D58" s="104"/>
      <c r="E58" s="90">
        <v>17881.14</v>
      </c>
      <c r="F58" s="103"/>
      <c r="G58" s="99">
        <f t="shared" si="4"/>
        <v>49182.66</v>
      </c>
      <c r="H58" s="99">
        <f t="shared" si="5"/>
        <v>0</v>
      </c>
    </row>
    <row r="59" spans="1:9" x14ac:dyDescent="0.2">
      <c r="A59" s="101">
        <v>142</v>
      </c>
      <c r="B59" s="102">
        <v>192900</v>
      </c>
      <c r="C59" s="98">
        <v>31301.52</v>
      </c>
      <c r="D59" s="104"/>
      <c r="E59" s="90">
        <v>17881.14</v>
      </c>
      <c r="F59" s="103"/>
      <c r="G59" s="99">
        <f t="shared" si="4"/>
        <v>49182.66</v>
      </c>
      <c r="H59" s="99">
        <f t="shared" si="5"/>
        <v>0</v>
      </c>
      <c r="I59" s="109" t="s">
        <v>207</v>
      </c>
    </row>
    <row r="60" spans="1:9" x14ac:dyDescent="0.2">
      <c r="A60" s="101">
        <v>143</v>
      </c>
      <c r="B60" s="102">
        <v>192900</v>
      </c>
      <c r="C60" s="98">
        <v>31301.52</v>
      </c>
      <c r="D60" s="104"/>
      <c r="E60" s="90">
        <v>17881.14</v>
      </c>
      <c r="F60" s="103"/>
      <c r="G60" s="99">
        <f t="shared" si="4"/>
        <v>49182.66</v>
      </c>
      <c r="H60" s="99">
        <f t="shared" si="5"/>
        <v>0</v>
      </c>
      <c r="I60" s="109" t="s">
        <v>207</v>
      </c>
    </row>
    <row r="61" spans="1:9" x14ac:dyDescent="0.2">
      <c r="A61" s="101">
        <v>144</v>
      </c>
      <c r="B61" s="102">
        <v>192900</v>
      </c>
      <c r="C61" s="98">
        <v>31301.52</v>
      </c>
      <c r="D61" s="104"/>
      <c r="E61" s="90">
        <v>17881.14</v>
      </c>
      <c r="F61" s="103"/>
      <c r="G61" s="99">
        <f t="shared" si="4"/>
        <v>49182.66</v>
      </c>
      <c r="H61" s="99">
        <f t="shared" si="5"/>
        <v>0</v>
      </c>
      <c r="I61" s="109" t="s">
        <v>19</v>
      </c>
    </row>
    <row r="62" spans="1:9" x14ac:dyDescent="0.2">
      <c r="A62" s="101">
        <v>145</v>
      </c>
      <c r="B62" s="102">
        <v>192900</v>
      </c>
      <c r="C62" s="98">
        <v>31301.52</v>
      </c>
      <c r="D62" s="104"/>
      <c r="E62" s="90">
        <v>17881.14</v>
      </c>
      <c r="F62" s="103"/>
      <c r="G62" s="99">
        <f t="shared" si="4"/>
        <v>49182.66</v>
      </c>
      <c r="H62" s="99">
        <f t="shared" si="5"/>
        <v>0</v>
      </c>
      <c r="I62" s="109" t="s">
        <v>19</v>
      </c>
    </row>
    <row r="63" spans="1:9" x14ac:dyDescent="0.2">
      <c r="A63" s="101">
        <v>152</v>
      </c>
      <c r="B63" s="102">
        <v>282200</v>
      </c>
      <c r="C63" s="90">
        <v>45792.06</v>
      </c>
      <c r="D63" s="102"/>
      <c r="E63" s="90">
        <v>26158.93</v>
      </c>
      <c r="F63" s="103"/>
      <c r="G63" s="99">
        <f t="shared" si="4"/>
        <v>71950.989999999991</v>
      </c>
      <c r="H63" s="99">
        <f t="shared" si="5"/>
        <v>0</v>
      </c>
      <c r="I63" s="109" t="s">
        <v>22</v>
      </c>
    </row>
    <row r="64" spans="1:9" x14ac:dyDescent="0.2">
      <c r="A64" s="101">
        <v>153</v>
      </c>
      <c r="B64" s="102">
        <v>282200</v>
      </c>
      <c r="C64" s="90">
        <v>45792.06</v>
      </c>
      <c r="D64" s="102"/>
      <c r="E64" s="90">
        <v>26158.93</v>
      </c>
      <c r="F64" s="103"/>
      <c r="G64" s="99">
        <f t="shared" si="4"/>
        <v>71950.989999999991</v>
      </c>
      <c r="H64" s="99">
        <f t="shared" si="5"/>
        <v>0</v>
      </c>
      <c r="I64" s="109" t="s">
        <v>22</v>
      </c>
    </row>
    <row r="65" spans="1:9" x14ac:dyDescent="0.2">
      <c r="A65" s="101">
        <v>154</v>
      </c>
      <c r="B65" s="102">
        <v>282200</v>
      </c>
      <c r="C65" s="90">
        <v>45792.06</v>
      </c>
      <c r="D65" s="102"/>
      <c r="E65" s="90">
        <v>26158.93</v>
      </c>
      <c r="F65" s="103"/>
      <c r="G65" s="99">
        <f t="shared" si="4"/>
        <v>71950.989999999991</v>
      </c>
      <c r="H65" s="99">
        <f t="shared" si="5"/>
        <v>0</v>
      </c>
      <c r="I65" s="109" t="s">
        <v>22</v>
      </c>
    </row>
    <row r="66" spans="1:9" x14ac:dyDescent="0.2">
      <c r="A66" s="101">
        <v>155</v>
      </c>
      <c r="B66" s="102">
        <v>440900</v>
      </c>
      <c r="C66" s="90">
        <v>71544.009999999995</v>
      </c>
      <c r="D66" s="102"/>
      <c r="E66" s="90">
        <v>40869.85</v>
      </c>
      <c r="F66" s="103"/>
      <c r="G66" s="99">
        <f t="shared" si="4"/>
        <v>112413.85999999999</v>
      </c>
      <c r="H66" s="99">
        <f t="shared" si="5"/>
        <v>0</v>
      </c>
      <c r="I66" s="109" t="s">
        <v>206</v>
      </c>
    </row>
    <row r="67" spans="1:9" x14ac:dyDescent="0.2">
      <c r="A67" s="101">
        <v>156</v>
      </c>
      <c r="B67" s="102">
        <v>440900</v>
      </c>
      <c r="C67" s="90">
        <v>71544.009999999995</v>
      </c>
      <c r="D67" s="102"/>
      <c r="E67" s="90">
        <v>40869.85</v>
      </c>
      <c r="F67" s="103"/>
      <c r="G67" s="99">
        <f t="shared" si="4"/>
        <v>112413.85999999999</v>
      </c>
      <c r="H67" s="99">
        <f t="shared" si="5"/>
        <v>0</v>
      </c>
      <c r="I67" s="109" t="s">
        <v>206</v>
      </c>
    </row>
    <row r="68" spans="1:9" x14ac:dyDescent="0.2">
      <c r="A68" s="101">
        <v>158</v>
      </c>
      <c r="B68" s="102">
        <v>192900</v>
      </c>
      <c r="C68" s="98">
        <v>31301.52</v>
      </c>
      <c r="D68" s="104"/>
      <c r="E68" s="90">
        <v>17881.14</v>
      </c>
      <c r="F68" s="103"/>
      <c r="G68" s="99">
        <f t="shared" si="4"/>
        <v>49182.66</v>
      </c>
      <c r="H68" s="99">
        <f t="shared" si="5"/>
        <v>0</v>
      </c>
      <c r="I68" s="109" t="s">
        <v>206</v>
      </c>
    </row>
    <row r="69" spans="1:9" x14ac:dyDescent="0.2">
      <c r="A69" s="101">
        <v>159</v>
      </c>
      <c r="B69" s="102">
        <v>192900</v>
      </c>
      <c r="C69" s="98">
        <v>31301.52</v>
      </c>
      <c r="D69" s="104"/>
      <c r="E69" s="90">
        <v>17881.14</v>
      </c>
      <c r="F69" s="103"/>
      <c r="G69" s="99">
        <f t="shared" si="4"/>
        <v>49182.66</v>
      </c>
      <c r="H69" s="99">
        <f t="shared" si="5"/>
        <v>0</v>
      </c>
      <c r="I69" s="109" t="s">
        <v>22</v>
      </c>
    </row>
    <row r="70" spans="1:9" x14ac:dyDescent="0.2">
      <c r="A70" s="101">
        <v>160</v>
      </c>
      <c r="B70" s="102">
        <v>192900</v>
      </c>
      <c r="C70" s="98">
        <v>31301.52</v>
      </c>
      <c r="D70" s="104"/>
      <c r="E70" s="90">
        <v>17881.14</v>
      </c>
      <c r="F70" s="103"/>
      <c r="G70" s="99">
        <f t="shared" si="4"/>
        <v>49182.66</v>
      </c>
      <c r="H70" s="99">
        <f t="shared" si="5"/>
        <v>0</v>
      </c>
      <c r="I70" s="109" t="s">
        <v>206</v>
      </c>
    </row>
    <row r="71" spans="1:9" x14ac:dyDescent="0.2">
      <c r="A71" s="101">
        <v>161</v>
      </c>
      <c r="B71" s="102">
        <v>192900</v>
      </c>
      <c r="C71" s="98">
        <v>31301.52</v>
      </c>
      <c r="D71" s="104"/>
      <c r="E71" s="90">
        <v>17881.14</v>
      </c>
      <c r="F71" s="103"/>
      <c r="G71" s="99">
        <f t="shared" si="4"/>
        <v>49182.66</v>
      </c>
      <c r="H71" s="99">
        <f t="shared" si="5"/>
        <v>0</v>
      </c>
      <c r="I71" s="109" t="s">
        <v>22</v>
      </c>
    </row>
    <row r="72" spans="1:9" x14ac:dyDescent="0.2">
      <c r="A72" s="101">
        <v>162</v>
      </c>
      <c r="B72" s="102">
        <v>192900</v>
      </c>
      <c r="C72" s="98">
        <v>31301.52</v>
      </c>
      <c r="D72" s="104"/>
      <c r="E72" s="90">
        <v>17881.14</v>
      </c>
      <c r="F72" s="103"/>
      <c r="G72" s="99">
        <f t="shared" si="4"/>
        <v>49182.66</v>
      </c>
      <c r="H72" s="99">
        <f t="shared" si="5"/>
        <v>0</v>
      </c>
      <c r="I72" s="109" t="s">
        <v>207</v>
      </c>
    </row>
    <row r="73" spans="1:9" x14ac:dyDescent="0.2">
      <c r="A73" s="101">
        <v>163</v>
      </c>
      <c r="B73" s="102">
        <v>180400</v>
      </c>
      <c r="C73" s="90">
        <v>29273.17</v>
      </c>
      <c r="D73" s="102"/>
      <c r="E73" s="90">
        <v>16722.43</v>
      </c>
      <c r="F73" s="103"/>
      <c r="G73" s="99">
        <f t="shared" si="4"/>
        <v>45995.6</v>
      </c>
      <c r="H73" s="99">
        <f t="shared" si="5"/>
        <v>0</v>
      </c>
    </row>
    <row r="74" spans="1:9" x14ac:dyDescent="0.2">
      <c r="A74" s="101">
        <v>164</v>
      </c>
      <c r="B74" s="102">
        <v>180400</v>
      </c>
      <c r="C74" s="90">
        <v>29273.17</v>
      </c>
      <c r="D74" s="102"/>
      <c r="E74" s="90">
        <v>16722.43</v>
      </c>
      <c r="F74" s="103"/>
      <c r="G74" s="99">
        <f t="shared" si="4"/>
        <v>45995.6</v>
      </c>
      <c r="H74" s="99">
        <f t="shared" si="5"/>
        <v>0</v>
      </c>
    </row>
    <row r="75" spans="1:9" x14ac:dyDescent="0.2">
      <c r="A75" s="101">
        <v>168</v>
      </c>
      <c r="B75" s="102">
        <v>440900</v>
      </c>
      <c r="C75" s="90">
        <v>71544.009999999995</v>
      </c>
      <c r="D75" s="102"/>
      <c r="E75" s="90">
        <v>40869.85</v>
      </c>
      <c r="F75" s="103"/>
      <c r="G75" s="99">
        <f t="shared" si="4"/>
        <v>112413.85999999999</v>
      </c>
      <c r="H75" s="99">
        <f t="shared" si="5"/>
        <v>0</v>
      </c>
      <c r="I75" s="109" t="s">
        <v>207</v>
      </c>
    </row>
    <row r="76" spans="1:9" x14ac:dyDescent="0.2">
      <c r="A76" s="101">
        <v>169</v>
      </c>
      <c r="B76" s="102">
        <v>440900</v>
      </c>
      <c r="C76" s="90">
        <v>71544.009999999995</v>
      </c>
      <c r="D76" s="102"/>
      <c r="E76" s="90">
        <v>40869.85</v>
      </c>
      <c r="F76" s="103"/>
      <c r="G76" s="99">
        <f t="shared" si="4"/>
        <v>112413.85999999999</v>
      </c>
      <c r="H76" s="99">
        <f t="shared" si="5"/>
        <v>0</v>
      </c>
      <c r="I76" s="109" t="s">
        <v>206</v>
      </c>
    </row>
    <row r="77" spans="1:9" x14ac:dyDescent="0.2">
      <c r="A77" s="101">
        <v>170</v>
      </c>
      <c r="B77" s="102">
        <v>440900</v>
      </c>
      <c r="C77" s="90">
        <v>71544.009999999995</v>
      </c>
      <c r="D77" s="102"/>
      <c r="E77" s="90">
        <v>40869.85</v>
      </c>
      <c r="F77" s="103"/>
      <c r="G77" s="99">
        <f t="shared" si="4"/>
        <v>112413.85999999999</v>
      </c>
      <c r="H77" s="99">
        <f t="shared" si="5"/>
        <v>0</v>
      </c>
      <c r="I77" s="109" t="s">
        <v>206</v>
      </c>
    </row>
    <row r="78" spans="1:9" x14ac:dyDescent="0.2">
      <c r="A78" s="101">
        <v>253</v>
      </c>
      <c r="B78" s="102">
        <v>192900</v>
      </c>
      <c r="C78" s="98">
        <v>31301.52</v>
      </c>
      <c r="D78" s="104"/>
      <c r="E78" s="90">
        <v>17881.14</v>
      </c>
      <c r="F78" s="103"/>
      <c r="G78" s="99">
        <f t="shared" si="4"/>
        <v>49182.66</v>
      </c>
      <c r="H78" s="99">
        <f t="shared" si="5"/>
        <v>0</v>
      </c>
      <c r="I78" s="109" t="s">
        <v>22</v>
      </c>
    </row>
    <row r="79" spans="1:9" x14ac:dyDescent="0.2">
      <c r="A79" s="101">
        <v>254</v>
      </c>
      <c r="B79" s="102">
        <v>192900</v>
      </c>
      <c r="C79" s="98">
        <v>31301.52</v>
      </c>
      <c r="D79" s="104"/>
      <c r="E79" s="90">
        <v>17881.14</v>
      </c>
      <c r="F79" s="103"/>
      <c r="G79" s="99">
        <f t="shared" si="4"/>
        <v>49182.66</v>
      </c>
      <c r="H79" s="99">
        <f t="shared" si="5"/>
        <v>0</v>
      </c>
      <c r="I79" s="109" t="s">
        <v>22</v>
      </c>
    </row>
    <row r="80" spans="1:9" x14ac:dyDescent="0.2">
      <c r="A80" s="101">
        <v>255</v>
      </c>
      <c r="B80" s="102">
        <v>192900</v>
      </c>
      <c r="C80" s="98">
        <v>31301.52</v>
      </c>
      <c r="D80" s="104"/>
      <c r="E80" s="90">
        <v>17881.14</v>
      </c>
      <c r="F80" s="103"/>
      <c r="G80" s="99">
        <f t="shared" si="4"/>
        <v>49182.66</v>
      </c>
      <c r="H80" s="99">
        <f t="shared" si="5"/>
        <v>0</v>
      </c>
      <c r="I80" s="109" t="s">
        <v>208</v>
      </c>
    </row>
    <row r="81" spans="1:9" x14ac:dyDescent="0.2">
      <c r="A81" s="101">
        <v>256</v>
      </c>
      <c r="B81" s="102">
        <v>192900</v>
      </c>
      <c r="C81" s="98">
        <v>31301.52</v>
      </c>
      <c r="D81" s="104"/>
      <c r="E81" s="90">
        <v>17881.14</v>
      </c>
      <c r="F81" s="103"/>
      <c r="G81" s="99">
        <f t="shared" si="4"/>
        <v>49182.66</v>
      </c>
      <c r="H81" s="99">
        <f t="shared" si="5"/>
        <v>0</v>
      </c>
      <c r="I81" s="109" t="s">
        <v>206</v>
      </c>
    </row>
    <row r="82" spans="1:9" x14ac:dyDescent="0.2">
      <c r="A82" s="101">
        <v>257</v>
      </c>
      <c r="B82" s="102">
        <v>192900</v>
      </c>
      <c r="C82" s="98">
        <v>31301.52</v>
      </c>
      <c r="D82" s="104"/>
      <c r="E82" s="90">
        <v>17881.14</v>
      </c>
      <c r="F82" s="103"/>
      <c r="G82" s="99">
        <f t="shared" si="4"/>
        <v>49182.66</v>
      </c>
      <c r="H82" s="99">
        <f t="shared" si="5"/>
        <v>0</v>
      </c>
      <c r="I82" s="109" t="s">
        <v>22</v>
      </c>
    </row>
    <row r="83" spans="1:9" x14ac:dyDescent="0.2">
      <c r="A83" s="101">
        <v>258</v>
      </c>
      <c r="B83" s="102">
        <v>180400</v>
      </c>
      <c r="C83" s="90">
        <v>29273.17</v>
      </c>
      <c r="D83" s="102"/>
      <c r="E83" s="90">
        <v>16722.43</v>
      </c>
      <c r="F83" s="103"/>
      <c r="G83" s="99">
        <f t="shared" si="4"/>
        <v>45995.6</v>
      </c>
      <c r="H83" s="99">
        <f t="shared" si="5"/>
        <v>0</v>
      </c>
    </row>
    <row r="84" spans="1:9" x14ac:dyDescent="0.2">
      <c r="A84" s="101">
        <v>259</v>
      </c>
      <c r="B84" s="102">
        <v>180400</v>
      </c>
      <c r="C84" s="90">
        <v>29273.17</v>
      </c>
      <c r="D84" s="102"/>
      <c r="E84" s="90">
        <v>16722.43</v>
      </c>
      <c r="F84" s="103"/>
      <c r="G84" s="99">
        <f t="shared" si="4"/>
        <v>45995.6</v>
      </c>
      <c r="H84" s="99">
        <f t="shared" si="5"/>
        <v>0</v>
      </c>
    </row>
    <row r="85" spans="1:9" x14ac:dyDescent="0.2">
      <c r="A85" s="101">
        <v>260</v>
      </c>
      <c r="B85" s="102">
        <v>282200</v>
      </c>
      <c r="C85" s="90">
        <v>45792.06</v>
      </c>
      <c r="D85" s="102"/>
      <c r="E85" s="90">
        <v>26158.93</v>
      </c>
      <c r="F85" s="103"/>
      <c r="G85" s="99">
        <f t="shared" si="4"/>
        <v>71950.989999999991</v>
      </c>
      <c r="H85" s="99">
        <f t="shared" si="5"/>
        <v>0</v>
      </c>
      <c r="I85" s="109" t="s">
        <v>208</v>
      </c>
    </row>
    <row r="86" spans="1:9" x14ac:dyDescent="0.2">
      <c r="A86" s="101">
        <v>261</v>
      </c>
      <c r="B86" s="102">
        <v>282200</v>
      </c>
      <c r="C86" s="90">
        <v>45792.06</v>
      </c>
      <c r="D86" s="102"/>
      <c r="E86" s="90">
        <v>26158.93</v>
      </c>
      <c r="F86" s="103"/>
      <c r="G86" s="99">
        <f t="shared" si="4"/>
        <v>71950.989999999991</v>
      </c>
      <c r="H86" s="99">
        <f t="shared" si="5"/>
        <v>0</v>
      </c>
      <c r="I86" s="109" t="s">
        <v>208</v>
      </c>
    </row>
    <row r="87" spans="1:9" x14ac:dyDescent="0.2">
      <c r="A87" s="101">
        <v>262</v>
      </c>
      <c r="B87" s="102">
        <v>282200</v>
      </c>
      <c r="C87" s="90">
        <v>45792.06</v>
      </c>
      <c r="D87" s="102"/>
      <c r="E87" s="90">
        <v>26158.93</v>
      </c>
      <c r="F87" s="103"/>
      <c r="G87" s="99">
        <f t="shared" si="4"/>
        <v>71950.989999999991</v>
      </c>
      <c r="H87" s="99">
        <f t="shared" si="5"/>
        <v>0</v>
      </c>
      <c r="I87" s="109" t="s">
        <v>208</v>
      </c>
    </row>
    <row r="88" spans="1:9" x14ac:dyDescent="0.2">
      <c r="A88" s="101">
        <v>263</v>
      </c>
      <c r="B88" s="102">
        <v>282200</v>
      </c>
      <c r="C88" s="90">
        <v>45792.06</v>
      </c>
      <c r="D88" s="102"/>
      <c r="E88" s="90">
        <v>26158.93</v>
      </c>
      <c r="F88" s="103"/>
      <c r="G88" s="99">
        <f t="shared" si="4"/>
        <v>71950.989999999991</v>
      </c>
      <c r="H88" s="99">
        <f t="shared" si="5"/>
        <v>0</v>
      </c>
      <c r="I88" s="109" t="s">
        <v>208</v>
      </c>
    </row>
    <row r="89" spans="1:9" x14ac:dyDescent="0.2">
      <c r="A89" s="101">
        <v>326</v>
      </c>
      <c r="B89" s="102">
        <v>700000</v>
      </c>
      <c r="C89" s="90">
        <v>113587.68</v>
      </c>
      <c r="D89" s="102"/>
      <c r="E89" s="90">
        <v>64887.49</v>
      </c>
      <c r="F89" s="103"/>
      <c r="G89" s="99">
        <f t="shared" si="4"/>
        <v>178475.16999999998</v>
      </c>
      <c r="H89" s="99">
        <f t="shared" si="5"/>
        <v>0</v>
      </c>
    </row>
    <row r="90" spans="1:9" x14ac:dyDescent="0.2">
      <c r="A90" s="101"/>
      <c r="B90" s="102"/>
      <c r="C90" s="102"/>
      <c r="D90" s="102"/>
      <c r="E90" s="102"/>
      <c r="F90" s="103"/>
      <c r="G90" s="99">
        <f t="shared" si="4"/>
        <v>0</v>
      </c>
      <c r="H90" s="99">
        <f t="shared" si="5"/>
        <v>0</v>
      </c>
    </row>
    <row r="91" spans="1:9" x14ac:dyDescent="0.2">
      <c r="A91" s="101"/>
      <c r="B91" s="102"/>
      <c r="C91" s="102"/>
      <c r="D91" s="102"/>
      <c r="E91" s="102"/>
      <c r="F91" s="103"/>
      <c r="G91" s="99">
        <f t="shared" si="4"/>
        <v>0</v>
      </c>
      <c r="H91" s="99">
        <f t="shared" si="5"/>
        <v>0</v>
      </c>
    </row>
    <row r="92" spans="1:9" x14ac:dyDescent="0.2">
      <c r="A92" s="101"/>
      <c r="B92" s="102"/>
      <c r="C92" s="102"/>
      <c r="D92" s="102"/>
      <c r="E92" s="102"/>
      <c r="F92" s="103"/>
      <c r="G92" s="99">
        <f t="shared" si="4"/>
        <v>0</v>
      </c>
      <c r="H92" s="99">
        <f t="shared" si="5"/>
        <v>0</v>
      </c>
    </row>
    <row r="93" spans="1:9" x14ac:dyDescent="0.2">
      <c r="A93" s="101"/>
      <c r="B93" s="102"/>
      <c r="C93" s="102"/>
      <c r="D93" s="102"/>
      <c r="E93" s="102"/>
      <c r="F93" s="103"/>
      <c r="G93" s="99">
        <f t="shared" si="4"/>
        <v>0</v>
      </c>
      <c r="H93" s="99">
        <f t="shared" si="5"/>
        <v>0</v>
      </c>
    </row>
    <row r="94" spans="1:9" x14ac:dyDescent="0.2">
      <c r="A94" s="88"/>
      <c r="B94" s="89"/>
      <c r="C94" s="89"/>
      <c r="D94" s="105">
        <f>+C94/12*7</f>
        <v>0</v>
      </c>
      <c r="E94" s="89"/>
      <c r="H94" s="93">
        <f>+D94+F94</f>
        <v>0</v>
      </c>
    </row>
    <row r="95" spans="1:9" x14ac:dyDescent="0.2">
      <c r="A95" s="88"/>
      <c r="B95" s="89">
        <f>SUM(B2:B94)</f>
        <v>28861669</v>
      </c>
      <c r="C95" s="89">
        <f>SUM(C2:C94)</f>
        <v>4683328.6099999947</v>
      </c>
      <c r="D95" s="89"/>
      <c r="E95" s="89">
        <f>SUM(E2:E94)</f>
        <v>2675373.3200000036</v>
      </c>
      <c r="G95" s="93">
        <f>SUM(G2:G94)</f>
        <v>7358701.9300000044</v>
      </c>
    </row>
    <row r="96" spans="1:9" hidden="1" x14ac:dyDescent="0.2"/>
    <row r="97" spans="1:8" hidden="1" x14ac:dyDescent="0.2">
      <c r="A97" s="107" t="s">
        <v>182</v>
      </c>
      <c r="B97" s="93">
        <f>+B95/5</f>
        <v>5772333.7999999998</v>
      </c>
    </row>
    <row r="98" spans="1:8" x14ac:dyDescent="0.2">
      <c r="H98" s="93">
        <f>+D98+F98</f>
        <v>0</v>
      </c>
    </row>
    <row r="99" spans="1:8" x14ac:dyDescent="0.2">
      <c r="H99" s="93">
        <f>+D99+F99</f>
        <v>0</v>
      </c>
    </row>
    <row r="101" spans="1:8" x14ac:dyDescent="0.2">
      <c r="E101" s="93">
        <f>SUBTOTAL(9,E33:E100)</f>
        <v>4507126.4400000013</v>
      </c>
    </row>
    <row r="103" spans="1:8" ht="17.399999999999999" x14ac:dyDescent="0.3">
      <c r="B103" s="108">
        <f>+B95+G95</f>
        <v>36220370.930000007</v>
      </c>
    </row>
  </sheetData>
  <autoFilter ref="A1:J95" xr:uid="{00000000-0009-0000-0000-00000B000000}"/>
  <customSheetViews>
    <customSheetView guid="{60788006-5C2B-4CAF-8D5B-3FA82F99F0BB}" showAutoFilter="1" hiddenRows="1">
      <pane xSplit="1" ySplit="1" topLeftCell="B2" activePane="bottomRight" state="frozen"/>
      <selection pane="bottomRight" activeCell="B2" sqref="B2"/>
      <pageMargins left="0" right="0" top="0" bottom="0" header="0.31496062992125984" footer="0.31496062992125984"/>
      <pageSetup paperSize="9" scale="85" orientation="portrait" r:id="rId1"/>
      <autoFilter ref="A1:J95" xr:uid="{00000000-0009-0000-0000-00000B000000}"/>
    </customSheetView>
    <customSheetView guid="{6C0BD6A7-6718-429D-82D9-D2FE0341EA2C}" showAutoFilter="1" hiddenRows="1">
      <pane xSplit="1" ySplit="1" topLeftCell="B2" activePane="bottomRight" state="frozen"/>
      <selection pane="bottomRight" activeCell="B2" sqref="B2"/>
      <pageMargins left="0" right="0" top="0" bottom="0" header="0.31496062992125984" footer="0.31496062992125984"/>
      <pageSetup paperSize="9" scale="85" orientation="portrait" r:id="rId2"/>
      <autoFilter ref="A1:J95" xr:uid="{1CA83A27-BA6A-4829-AFB4-3678893F7410}"/>
    </customSheetView>
    <customSheetView guid="{594C4AB0-8D5F-4373-9663-410F4413FE3A}" showPageBreaks="1" showAutoFilter="1" hiddenRows="1">
      <pane xSplit="1" ySplit="1" topLeftCell="B2" activePane="bottomRight" state="frozen"/>
      <selection pane="bottomRight" activeCell="B2" sqref="B2"/>
      <pageMargins left="0" right="0" top="0" bottom="0" header="0.31496062992125984" footer="0.31496062992125984"/>
      <pageSetup paperSize="9" scale="85" orientation="portrait" r:id="rId3"/>
      <autoFilter ref="A1:J95" xr:uid="{3277E5F2-E65A-44A6-8DB3-25449CB1394F}"/>
    </customSheetView>
    <customSheetView guid="{DF69299D-7752-4436-A45D-28F739CEE21B}" showAutoFilter="1" hiddenRows="1">
      <pane xSplit="1" ySplit="1" topLeftCell="B2" activePane="bottomRight" state="frozen"/>
      <selection pane="bottomRight" activeCell="B2" sqref="B2"/>
      <pageMargins left="0" right="0" top="0" bottom="0" header="0.31496062992125984" footer="0.31496062992125984"/>
      <pageSetup paperSize="9" scale="85" orientation="portrait" r:id="rId4"/>
      <autoFilter ref="A1:J95" xr:uid="{9A8108D8-87F2-420B-9210-EDEEA491C41E}"/>
    </customSheetView>
  </customSheetViews>
  <pageMargins left="0" right="0" top="0" bottom="0" header="0.31496062992125984" footer="0.31496062992125984"/>
  <pageSetup paperSize="9" scale="85" orientation="portrait" r:id="rId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B6:K35"/>
  <sheetViews>
    <sheetView topLeftCell="A7" workbookViewId="0">
      <selection activeCell="K13" sqref="K13"/>
    </sheetView>
  </sheetViews>
  <sheetFormatPr defaultRowHeight="13.2" x14ac:dyDescent="0.25"/>
  <cols>
    <col min="2" max="2" width="25.77734375" customWidth="1"/>
    <col min="3" max="3" width="6.77734375" bestFit="1" customWidth="1"/>
    <col min="4" max="4" width="40.44140625" bestFit="1" customWidth="1"/>
    <col min="5" max="5" width="9.5546875" bestFit="1" customWidth="1"/>
    <col min="6" max="6" width="13.5546875" customWidth="1"/>
    <col min="7" max="7" width="9.77734375" bestFit="1" customWidth="1"/>
    <col min="8" max="8" width="12" bestFit="1" customWidth="1"/>
  </cols>
  <sheetData>
    <row r="6" spans="2:11" x14ac:dyDescent="0.25">
      <c r="B6" s="126"/>
      <c r="C6" s="126"/>
      <c r="D6" s="127" t="s">
        <v>458</v>
      </c>
      <c r="E6" s="127"/>
      <c r="F6" s="127"/>
      <c r="G6" s="127"/>
      <c r="H6" s="126"/>
    </row>
    <row r="7" spans="2:11" ht="13.8" thickBot="1" x14ac:dyDescent="0.3">
      <c r="B7" s="126"/>
      <c r="C7" s="126"/>
      <c r="D7" s="126"/>
      <c r="E7" s="126"/>
      <c r="F7" s="126"/>
      <c r="G7" s="126"/>
      <c r="H7" s="126"/>
    </row>
    <row r="8" spans="2:11" ht="53.4" thickBot="1" x14ac:dyDescent="0.3">
      <c r="B8" s="128" t="s">
        <v>459</v>
      </c>
      <c r="C8" s="129" t="s">
        <v>460</v>
      </c>
      <c r="D8" s="130" t="s">
        <v>461</v>
      </c>
      <c r="E8" s="130" t="s">
        <v>462</v>
      </c>
      <c r="F8" s="130" t="s">
        <v>463</v>
      </c>
      <c r="G8" s="131" t="s">
        <v>464</v>
      </c>
      <c r="H8" s="126"/>
    </row>
    <row r="9" spans="2:11" x14ac:dyDescent="0.25">
      <c r="B9" s="132" t="s">
        <v>465</v>
      </c>
      <c r="C9" s="133" t="s">
        <v>466</v>
      </c>
      <c r="D9" s="134">
        <v>211698</v>
      </c>
      <c r="E9" s="135" t="s">
        <v>467</v>
      </c>
      <c r="F9" s="136">
        <v>13295.81</v>
      </c>
      <c r="G9" s="137">
        <v>1632.82</v>
      </c>
      <c r="H9" s="138">
        <f>F9*12</f>
        <v>159549.72</v>
      </c>
      <c r="K9">
        <f>7094743.47+15800+785082.21+538137.08</f>
        <v>8433762.7599999998</v>
      </c>
    </row>
    <row r="10" spans="2:11" x14ac:dyDescent="0.25">
      <c r="B10" s="132" t="s">
        <v>468</v>
      </c>
      <c r="C10" s="139" t="s">
        <v>469</v>
      </c>
      <c r="D10" s="134">
        <v>211699</v>
      </c>
      <c r="E10" s="135" t="s">
        <v>467</v>
      </c>
      <c r="F10" s="136">
        <v>13260.01</v>
      </c>
      <c r="G10" s="137">
        <v>1628.42</v>
      </c>
      <c r="H10" s="138">
        <f t="shared" ref="H10:H19" si="0">F10*12</f>
        <v>159120.12</v>
      </c>
      <c r="K10">
        <f>+K9+152743.88</f>
        <v>8586506.6400000006</v>
      </c>
    </row>
    <row r="11" spans="2:11" x14ac:dyDescent="0.25">
      <c r="B11" s="132" t="s">
        <v>468</v>
      </c>
      <c r="C11" s="133" t="s">
        <v>470</v>
      </c>
      <c r="D11" s="134">
        <v>211701</v>
      </c>
      <c r="E11" s="135" t="s">
        <v>467</v>
      </c>
      <c r="F11" s="136">
        <v>15645.86</v>
      </c>
      <c r="G11" s="137">
        <v>1921.42</v>
      </c>
      <c r="H11" s="138">
        <f t="shared" si="0"/>
        <v>187750.32</v>
      </c>
      <c r="K11">
        <v>8721516.5399999991</v>
      </c>
    </row>
    <row r="12" spans="2:11" x14ac:dyDescent="0.25">
      <c r="B12" s="132" t="s">
        <v>468</v>
      </c>
      <c r="C12" s="140" t="s">
        <v>471</v>
      </c>
      <c r="D12" s="134">
        <v>211704</v>
      </c>
      <c r="E12" s="135" t="s">
        <v>467</v>
      </c>
      <c r="F12" s="136">
        <v>12999.17</v>
      </c>
      <c r="G12" s="137">
        <v>1596.39</v>
      </c>
      <c r="H12" s="138">
        <f t="shared" si="0"/>
        <v>155990.04</v>
      </c>
      <c r="K12">
        <f>+K11-K10</f>
        <v>135009.89999999851</v>
      </c>
    </row>
    <row r="13" spans="2:11" x14ac:dyDescent="0.25">
      <c r="B13" s="132" t="s">
        <v>468</v>
      </c>
      <c r="C13" s="140" t="s">
        <v>472</v>
      </c>
      <c r="D13" s="134">
        <v>211706</v>
      </c>
      <c r="E13" s="135" t="s">
        <v>467</v>
      </c>
      <c r="F13" s="136">
        <v>13362.3</v>
      </c>
      <c r="G13" s="137">
        <v>1640.98</v>
      </c>
      <c r="H13" s="138">
        <f t="shared" si="0"/>
        <v>160347.59999999998</v>
      </c>
    </row>
    <row r="14" spans="2:11" x14ac:dyDescent="0.25">
      <c r="B14" s="132" t="s">
        <v>468</v>
      </c>
      <c r="C14" s="140" t="s">
        <v>473</v>
      </c>
      <c r="D14" s="134">
        <v>211708</v>
      </c>
      <c r="E14" s="135" t="s">
        <v>467</v>
      </c>
      <c r="F14" s="136">
        <v>14670.23</v>
      </c>
      <c r="G14" s="137">
        <v>1801.61</v>
      </c>
      <c r="H14" s="138">
        <f t="shared" si="0"/>
        <v>176042.76</v>
      </c>
    </row>
    <row r="15" spans="2:11" x14ac:dyDescent="0.25">
      <c r="B15" s="132" t="s">
        <v>474</v>
      </c>
      <c r="C15" s="140" t="s">
        <v>475</v>
      </c>
      <c r="D15" s="134">
        <v>211722</v>
      </c>
      <c r="E15" s="135" t="s">
        <v>467</v>
      </c>
      <c r="F15" s="136">
        <v>6892.51</v>
      </c>
      <c r="G15" s="137">
        <v>846.45</v>
      </c>
      <c r="H15" s="138">
        <f t="shared" si="0"/>
        <v>82710.12</v>
      </c>
    </row>
    <row r="16" spans="2:11" x14ac:dyDescent="0.25">
      <c r="B16" s="132" t="s">
        <v>476</v>
      </c>
      <c r="C16" s="140" t="s">
        <v>477</v>
      </c>
      <c r="D16" s="134">
        <v>211711</v>
      </c>
      <c r="E16" s="135" t="s">
        <v>467</v>
      </c>
      <c r="F16" s="136">
        <v>8221.42</v>
      </c>
      <c r="G16" s="137">
        <v>1009.65</v>
      </c>
      <c r="H16" s="138">
        <f t="shared" si="0"/>
        <v>98657.040000000008</v>
      </c>
    </row>
    <row r="17" spans="2:8" x14ac:dyDescent="0.25">
      <c r="B17" s="132" t="s">
        <v>476</v>
      </c>
      <c r="C17" s="140" t="s">
        <v>478</v>
      </c>
      <c r="D17" s="134">
        <v>211712</v>
      </c>
      <c r="E17" s="135" t="s">
        <v>467</v>
      </c>
      <c r="F17" s="136">
        <v>10212.11</v>
      </c>
      <c r="G17" s="137">
        <v>1254.1199999999999</v>
      </c>
      <c r="H17" s="138">
        <f t="shared" si="0"/>
        <v>122545.32</v>
      </c>
    </row>
    <row r="18" spans="2:8" x14ac:dyDescent="0.25">
      <c r="B18" s="132" t="s">
        <v>476</v>
      </c>
      <c r="C18" s="140" t="s">
        <v>479</v>
      </c>
      <c r="D18" s="134">
        <v>211716</v>
      </c>
      <c r="E18" s="135" t="s">
        <v>467</v>
      </c>
      <c r="F18" s="136">
        <v>9227.8799999999992</v>
      </c>
      <c r="G18" s="137">
        <v>1133.25</v>
      </c>
      <c r="H18" s="138">
        <f t="shared" si="0"/>
        <v>110734.56</v>
      </c>
    </row>
    <row r="19" spans="2:8" x14ac:dyDescent="0.25">
      <c r="B19" s="141" t="s">
        <v>480</v>
      </c>
      <c r="C19" s="142" t="s">
        <v>481</v>
      </c>
      <c r="D19" s="134">
        <v>211721</v>
      </c>
      <c r="E19" s="135" t="s">
        <v>467</v>
      </c>
      <c r="F19" s="136">
        <v>12140.7</v>
      </c>
      <c r="G19" s="137">
        <v>1490.96</v>
      </c>
      <c r="H19" s="138">
        <f t="shared" si="0"/>
        <v>145688.40000000002</v>
      </c>
    </row>
    <row r="20" spans="2:8" ht="13.8" thickBot="1" x14ac:dyDescent="0.3">
      <c r="B20" s="143"/>
      <c r="C20" s="144"/>
      <c r="D20" s="145"/>
      <c r="E20" s="146"/>
      <c r="F20" s="147"/>
      <c r="G20" s="148"/>
      <c r="H20" s="126"/>
    </row>
    <row r="24" spans="2:8" ht="13.8" thickBot="1" x14ac:dyDescent="0.3">
      <c r="B24" s="149"/>
      <c r="C24" s="149"/>
      <c r="D24" s="149"/>
      <c r="E24" s="149"/>
      <c r="F24" s="149"/>
      <c r="G24" s="149"/>
      <c r="H24" s="149"/>
    </row>
    <row r="25" spans="2:8" ht="53.4" thickBot="1" x14ac:dyDescent="0.3">
      <c r="B25" s="150" t="s">
        <v>459</v>
      </c>
      <c r="C25" s="151" t="s">
        <v>460</v>
      </c>
      <c r="D25" s="152" t="s">
        <v>461</v>
      </c>
      <c r="E25" s="152" t="s">
        <v>462</v>
      </c>
      <c r="F25" s="152" t="s">
        <v>463</v>
      </c>
      <c r="G25" s="153" t="s">
        <v>464</v>
      </c>
      <c r="H25" s="149"/>
    </row>
    <row r="26" spans="2:8" x14ac:dyDescent="0.25">
      <c r="B26" s="154" t="s">
        <v>482</v>
      </c>
      <c r="C26" s="155" t="s">
        <v>483</v>
      </c>
      <c r="D26" s="156">
        <v>211689</v>
      </c>
      <c r="E26" s="157" t="s">
        <v>467</v>
      </c>
      <c r="F26" s="158">
        <v>5418.79</v>
      </c>
      <c r="G26" s="159">
        <v>665.46</v>
      </c>
      <c r="H26" s="149">
        <f>F26*12</f>
        <v>65025.479999999996</v>
      </c>
    </row>
    <row r="27" spans="2:8" x14ac:dyDescent="0.25">
      <c r="B27" s="154" t="s">
        <v>482</v>
      </c>
      <c r="C27" s="155" t="s">
        <v>484</v>
      </c>
      <c r="D27" s="156">
        <v>211696</v>
      </c>
      <c r="E27" s="157" t="s">
        <v>467</v>
      </c>
      <c r="F27" s="158">
        <v>4954.3900000000003</v>
      </c>
      <c r="G27" s="159">
        <v>608.42999999999995</v>
      </c>
      <c r="H27" s="149">
        <f t="shared" ref="H27:H33" si="1">F27*12</f>
        <v>59452.680000000008</v>
      </c>
    </row>
    <row r="28" spans="2:8" x14ac:dyDescent="0.25">
      <c r="B28" s="154" t="s">
        <v>482</v>
      </c>
      <c r="C28" s="155" t="s">
        <v>485</v>
      </c>
      <c r="D28" s="156">
        <v>211702</v>
      </c>
      <c r="E28" s="157" t="s">
        <v>467</v>
      </c>
      <c r="F28" s="158">
        <v>5163.37</v>
      </c>
      <c r="G28" s="159">
        <v>634.1</v>
      </c>
      <c r="H28" s="149">
        <f t="shared" si="1"/>
        <v>61960.44</v>
      </c>
    </row>
    <row r="29" spans="2:8" x14ac:dyDescent="0.25">
      <c r="B29" s="154" t="s">
        <v>486</v>
      </c>
      <c r="C29" s="155" t="s">
        <v>487</v>
      </c>
      <c r="D29" s="156">
        <v>211705</v>
      </c>
      <c r="E29" s="157" t="s">
        <v>467</v>
      </c>
      <c r="F29" s="158">
        <v>6998.47</v>
      </c>
      <c r="G29" s="159">
        <v>44.66</v>
      </c>
      <c r="H29" s="149">
        <f t="shared" si="1"/>
        <v>83981.64</v>
      </c>
    </row>
    <row r="30" spans="2:8" x14ac:dyDescent="0.25">
      <c r="B30" s="154" t="s">
        <v>488</v>
      </c>
      <c r="C30" s="155" t="s">
        <v>489</v>
      </c>
      <c r="D30" s="156">
        <v>211710</v>
      </c>
      <c r="E30" s="157" t="s">
        <v>467</v>
      </c>
      <c r="F30" s="158">
        <v>2931.11</v>
      </c>
      <c r="G30" s="159">
        <v>40.42</v>
      </c>
      <c r="H30" s="149">
        <f t="shared" si="1"/>
        <v>35173.32</v>
      </c>
    </row>
    <row r="31" spans="2:8" x14ac:dyDescent="0.25">
      <c r="B31" s="154" t="s">
        <v>490</v>
      </c>
      <c r="C31" s="155" t="s">
        <v>491</v>
      </c>
      <c r="D31" s="156">
        <v>211714</v>
      </c>
      <c r="E31" s="157" t="s">
        <v>467</v>
      </c>
      <c r="F31" s="158">
        <v>3684.87</v>
      </c>
      <c r="G31" s="159">
        <v>452.53</v>
      </c>
      <c r="H31" s="149">
        <f t="shared" si="1"/>
        <v>44218.44</v>
      </c>
    </row>
    <row r="32" spans="2:8" x14ac:dyDescent="0.25">
      <c r="B32" s="154" t="s">
        <v>490</v>
      </c>
      <c r="C32" s="155" t="s">
        <v>492</v>
      </c>
      <c r="D32" s="156">
        <v>211718</v>
      </c>
      <c r="E32" s="157" t="s">
        <v>467</v>
      </c>
      <c r="F32" s="158">
        <v>3596.62</v>
      </c>
      <c r="G32" s="159">
        <v>441.69</v>
      </c>
      <c r="H32" s="149">
        <f t="shared" si="1"/>
        <v>43159.44</v>
      </c>
    </row>
    <row r="33" spans="2:8" x14ac:dyDescent="0.25">
      <c r="B33" s="160" t="s">
        <v>490</v>
      </c>
      <c r="C33" s="161" t="s">
        <v>493</v>
      </c>
      <c r="D33" s="156">
        <v>211723</v>
      </c>
      <c r="E33" s="157" t="s">
        <v>467</v>
      </c>
      <c r="F33" s="158">
        <v>3437.09</v>
      </c>
      <c r="G33" s="159">
        <v>422.1</v>
      </c>
      <c r="H33" s="149">
        <f t="shared" si="1"/>
        <v>41245.08</v>
      </c>
    </row>
    <row r="34" spans="2:8" ht="13.8" thickBot="1" x14ac:dyDescent="0.3">
      <c r="B34" s="162"/>
      <c r="C34" s="163"/>
      <c r="D34" s="164"/>
      <c r="E34" s="165"/>
      <c r="F34" s="166"/>
      <c r="G34" s="167"/>
      <c r="H34" s="149"/>
    </row>
    <row r="35" spans="2:8" x14ac:dyDescent="0.25">
      <c r="B35" s="168"/>
      <c r="C35" s="168"/>
      <c r="D35" s="169"/>
      <c r="E35" s="170"/>
      <c r="F35" s="168"/>
      <c r="G35" s="168"/>
      <c r="H35" s="170"/>
    </row>
  </sheetData>
  <customSheetViews>
    <customSheetView guid="{60788006-5C2B-4CAF-8D5B-3FA82F99F0BB}" topLeftCell="A7">
      <selection activeCell="K13" sqref="K13"/>
      <pageMargins left="0.7" right="0.7" top="0.75" bottom="0.75" header="0.3" footer="0.3"/>
      <pageSetup paperSize="9" orientation="portrait" r:id="rId1"/>
    </customSheetView>
    <customSheetView guid="{6C0BD6A7-6718-429D-82D9-D2FE0341EA2C}" topLeftCell="A7">
      <selection activeCell="K13" sqref="K13"/>
      <pageMargins left="0.7" right="0.7" top="0.75" bottom="0.75" header="0.3" footer="0.3"/>
      <pageSetup paperSize="9" orientation="portrait" r:id="rId2"/>
    </customSheetView>
    <customSheetView guid="{594C4AB0-8D5F-4373-9663-410F4413FE3A}" showPageBreaks="1" topLeftCell="A7">
      <selection activeCell="K13" sqref="K13"/>
      <pageMargins left="0.7" right="0.7" top="0.75" bottom="0.75" header="0.3" footer="0.3"/>
      <pageSetup paperSize="9" orientation="portrait" r:id="rId3"/>
    </customSheetView>
    <customSheetView guid="{DF69299D-7752-4436-A45D-28F739CEE21B}" topLeftCell="A7">
      <selection activeCell="K13" sqref="K13"/>
      <pageMargins left="0.7" right="0.7" top="0.75" bottom="0.75" header="0.3" footer="0.3"/>
      <pageSetup paperSize="9" orientation="portrait" r:id="rId4"/>
    </customSheetView>
  </customSheetViews>
  <pageMargins left="0.7" right="0.7" top="0.75" bottom="0.75" header="0.3" footer="0.3"/>
  <pageSetup paperSize="9" orientation="portrait" r:id="rId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E199"/>
  <sheetViews>
    <sheetView workbookViewId="0">
      <selection activeCell="C1" sqref="C1"/>
    </sheetView>
  </sheetViews>
  <sheetFormatPr defaultColWidth="9.21875" defaultRowHeight="12" x14ac:dyDescent="0.15"/>
  <cols>
    <col min="1" max="1" width="5.44140625" style="350" bestFit="1" customWidth="1"/>
    <col min="2" max="2" width="16" style="347" customWidth="1"/>
    <col min="3" max="3" width="7" style="347" bestFit="1" customWidth="1"/>
    <col min="4" max="4" width="11.21875" style="351" bestFit="1" customWidth="1"/>
    <col min="5" max="5" width="12" style="351" bestFit="1" customWidth="1"/>
    <col min="6" max="6" width="13.77734375" style="347" bestFit="1" customWidth="1"/>
    <col min="7" max="16384" width="9.21875" style="347"/>
  </cols>
  <sheetData>
    <row r="1" spans="1:5" x14ac:dyDescent="0.15">
      <c r="A1" s="354" t="s">
        <v>1441</v>
      </c>
      <c r="B1" s="348" t="s">
        <v>1442</v>
      </c>
      <c r="C1" s="348" t="s">
        <v>1443</v>
      </c>
      <c r="D1" s="349" t="s">
        <v>243</v>
      </c>
    </row>
    <row r="2" spans="1:5" x14ac:dyDescent="0.15">
      <c r="A2" s="350">
        <v>601</v>
      </c>
      <c r="B2" s="350">
        <v>11</v>
      </c>
      <c r="C2" s="350">
        <v>1231</v>
      </c>
      <c r="D2" s="351">
        <v>8826.64</v>
      </c>
      <c r="E2" s="351">
        <f>+D2*2</f>
        <v>17653.28</v>
      </c>
    </row>
    <row r="3" spans="1:5" x14ac:dyDescent="0.15">
      <c r="A3" s="350">
        <v>360</v>
      </c>
      <c r="B3" s="350">
        <v>258</v>
      </c>
      <c r="C3" s="350">
        <v>3301</v>
      </c>
      <c r="D3" s="351">
        <v>12353.75</v>
      </c>
      <c r="E3" s="351">
        <f t="shared" ref="E3:E66" si="0">+D3*2</f>
        <v>24707.5</v>
      </c>
    </row>
    <row r="4" spans="1:5" x14ac:dyDescent="0.15">
      <c r="A4" s="355" t="s">
        <v>255</v>
      </c>
      <c r="B4" s="350">
        <v>11</v>
      </c>
      <c r="C4" s="350">
        <v>1231</v>
      </c>
      <c r="D4" s="352">
        <v>10466.760234941759</v>
      </c>
      <c r="E4" s="351">
        <f t="shared" si="0"/>
        <v>20933.520469883519</v>
      </c>
    </row>
    <row r="5" spans="1:5" x14ac:dyDescent="0.15">
      <c r="A5" s="355" t="s">
        <v>255</v>
      </c>
      <c r="B5" s="350">
        <v>12</v>
      </c>
      <c r="C5" s="350">
        <v>3301</v>
      </c>
      <c r="D5" s="351">
        <v>8133.408597962416</v>
      </c>
      <c r="E5" s="351">
        <f t="shared" si="0"/>
        <v>16266.817195924832</v>
      </c>
    </row>
    <row r="6" spans="1:5" x14ac:dyDescent="0.15">
      <c r="A6" s="355" t="s">
        <v>259</v>
      </c>
      <c r="B6" s="350">
        <v>11</v>
      </c>
      <c r="C6" s="350">
        <v>1231</v>
      </c>
      <c r="D6" s="352">
        <v>10225.931772363818</v>
      </c>
      <c r="E6" s="351">
        <f t="shared" si="0"/>
        <v>20451.863544727636</v>
      </c>
    </row>
    <row r="7" spans="1:5" x14ac:dyDescent="0.15">
      <c r="A7" s="355" t="s">
        <v>259</v>
      </c>
      <c r="B7" s="350">
        <v>12</v>
      </c>
      <c r="C7" s="350">
        <v>3301</v>
      </c>
      <c r="D7" s="351">
        <v>7946.2679504078396</v>
      </c>
      <c r="E7" s="351">
        <f t="shared" si="0"/>
        <v>15892.535900815679</v>
      </c>
    </row>
    <row r="8" spans="1:5" x14ac:dyDescent="0.15">
      <c r="A8" s="355" t="s">
        <v>261</v>
      </c>
      <c r="B8" s="350">
        <v>11</v>
      </c>
      <c r="C8" s="350">
        <v>1231</v>
      </c>
      <c r="D8" s="352">
        <v>10225.931772363818</v>
      </c>
      <c r="E8" s="351">
        <f t="shared" si="0"/>
        <v>20451.863544727636</v>
      </c>
    </row>
    <row r="9" spans="1:5" x14ac:dyDescent="0.15">
      <c r="A9" s="355" t="s">
        <v>261</v>
      </c>
      <c r="B9" s="350">
        <v>12</v>
      </c>
      <c r="C9" s="350">
        <v>3301</v>
      </c>
      <c r="D9" s="351">
        <v>7946.2679504078396</v>
      </c>
      <c r="E9" s="351">
        <f t="shared" si="0"/>
        <v>15892.535900815679</v>
      </c>
    </row>
    <row r="10" spans="1:5" x14ac:dyDescent="0.15">
      <c r="A10" s="355" t="s">
        <v>263</v>
      </c>
      <c r="B10" s="350">
        <v>11</v>
      </c>
      <c r="C10" s="350">
        <v>1231</v>
      </c>
      <c r="D10" s="352">
        <v>10225.931772363818</v>
      </c>
      <c r="E10" s="351">
        <f t="shared" si="0"/>
        <v>20451.863544727636</v>
      </c>
    </row>
    <row r="11" spans="1:5" x14ac:dyDescent="0.15">
      <c r="A11" s="355" t="s">
        <v>263</v>
      </c>
      <c r="B11" s="350">
        <v>12</v>
      </c>
      <c r="C11" s="350">
        <v>3301</v>
      </c>
      <c r="D11" s="351">
        <v>7946.2679504078396</v>
      </c>
      <c r="E11" s="351">
        <f t="shared" si="0"/>
        <v>15892.535900815679</v>
      </c>
    </row>
    <row r="12" spans="1:5" x14ac:dyDescent="0.15">
      <c r="A12" s="355" t="s">
        <v>278</v>
      </c>
      <c r="B12" s="350">
        <v>11</v>
      </c>
      <c r="C12" s="350">
        <v>1231</v>
      </c>
      <c r="D12" s="352">
        <v>10225.931772363818</v>
      </c>
      <c r="E12" s="351">
        <f t="shared" si="0"/>
        <v>20451.863544727636</v>
      </c>
    </row>
    <row r="13" spans="1:5" x14ac:dyDescent="0.15">
      <c r="A13" s="355" t="s">
        <v>278</v>
      </c>
      <c r="B13" s="350">
        <v>12</v>
      </c>
      <c r="C13" s="350">
        <v>3301</v>
      </c>
      <c r="D13" s="351">
        <v>7946.2679504078396</v>
      </c>
      <c r="E13" s="351">
        <f t="shared" si="0"/>
        <v>15892.535900815679</v>
      </c>
    </row>
    <row r="14" spans="1:5" x14ac:dyDescent="0.15">
      <c r="A14" s="355" t="s">
        <v>355</v>
      </c>
      <c r="B14" s="350">
        <v>11</v>
      </c>
      <c r="C14" s="350">
        <v>1231</v>
      </c>
      <c r="D14" s="352">
        <v>10225.931772363818</v>
      </c>
      <c r="E14" s="351">
        <f t="shared" si="0"/>
        <v>20451.863544727636</v>
      </c>
    </row>
    <row r="15" spans="1:5" x14ac:dyDescent="0.15">
      <c r="A15" s="355" t="s">
        <v>355</v>
      </c>
      <c r="B15" s="350">
        <v>12</v>
      </c>
      <c r="C15" s="350">
        <v>3301</v>
      </c>
      <c r="D15" s="351">
        <v>7946.2679504078396</v>
      </c>
      <c r="E15" s="351">
        <f t="shared" si="0"/>
        <v>15892.535900815679</v>
      </c>
    </row>
    <row r="16" spans="1:5" x14ac:dyDescent="0.15">
      <c r="A16" s="355" t="s">
        <v>268</v>
      </c>
      <c r="B16" s="350">
        <v>11</v>
      </c>
      <c r="C16" s="350">
        <v>1231</v>
      </c>
      <c r="D16" s="352">
        <v>9790.6340541931149</v>
      </c>
      <c r="E16" s="351">
        <f t="shared" si="0"/>
        <v>19581.26810838623</v>
      </c>
    </row>
    <row r="17" spans="1:5" x14ac:dyDescent="0.15">
      <c r="A17" s="355" t="s">
        <v>268</v>
      </c>
      <c r="B17" s="350">
        <v>12</v>
      </c>
      <c r="C17" s="350">
        <v>3301</v>
      </c>
      <c r="D17" s="351">
        <v>7608.01101854236</v>
      </c>
      <c r="E17" s="351">
        <f t="shared" si="0"/>
        <v>15216.02203708472</v>
      </c>
    </row>
    <row r="18" spans="1:5" x14ac:dyDescent="0.15">
      <c r="A18" s="355" t="s">
        <v>271</v>
      </c>
      <c r="B18" s="350">
        <v>11</v>
      </c>
      <c r="C18" s="350">
        <v>1231</v>
      </c>
      <c r="D18" s="352">
        <v>9790.6340541931149</v>
      </c>
      <c r="E18" s="351">
        <f t="shared" si="0"/>
        <v>19581.26810838623</v>
      </c>
    </row>
    <row r="19" spans="1:5" x14ac:dyDescent="0.15">
      <c r="A19" s="355" t="s">
        <v>271</v>
      </c>
      <c r="B19" s="350">
        <v>12</v>
      </c>
      <c r="C19" s="350">
        <v>3301</v>
      </c>
      <c r="D19" s="351">
        <v>7608.01101854236</v>
      </c>
      <c r="E19" s="351">
        <f t="shared" si="0"/>
        <v>15216.02203708472</v>
      </c>
    </row>
    <row r="20" spans="1:5" x14ac:dyDescent="0.15">
      <c r="A20" s="355" t="s">
        <v>272</v>
      </c>
      <c r="B20" s="350">
        <v>11</v>
      </c>
      <c r="C20" s="350">
        <v>1231</v>
      </c>
      <c r="D20" s="352">
        <v>9790.6340541931149</v>
      </c>
      <c r="E20" s="351">
        <f t="shared" si="0"/>
        <v>19581.26810838623</v>
      </c>
    </row>
    <row r="21" spans="1:5" x14ac:dyDescent="0.15">
      <c r="A21" s="355" t="s">
        <v>272</v>
      </c>
      <c r="B21" s="350">
        <v>12</v>
      </c>
      <c r="C21" s="350">
        <v>3301</v>
      </c>
      <c r="D21" s="351">
        <v>7608.01101854236</v>
      </c>
      <c r="E21" s="351">
        <f t="shared" si="0"/>
        <v>15216.02203708472</v>
      </c>
    </row>
    <row r="22" spans="1:5" x14ac:dyDescent="0.15">
      <c r="A22" s="355" t="s">
        <v>274</v>
      </c>
      <c r="B22" s="350">
        <v>11</v>
      </c>
      <c r="C22" s="350">
        <v>1231</v>
      </c>
      <c r="D22" s="352">
        <v>9790.6340541931149</v>
      </c>
      <c r="E22" s="351">
        <f t="shared" si="0"/>
        <v>19581.26810838623</v>
      </c>
    </row>
    <row r="23" spans="1:5" x14ac:dyDescent="0.15">
      <c r="A23" s="355" t="s">
        <v>274</v>
      </c>
      <c r="B23" s="350">
        <v>12</v>
      </c>
      <c r="C23" s="350">
        <v>3301</v>
      </c>
      <c r="D23" s="351">
        <v>7608.01101854236</v>
      </c>
      <c r="E23" s="351">
        <f t="shared" si="0"/>
        <v>15216.02203708472</v>
      </c>
    </row>
    <row r="24" spans="1:5" x14ac:dyDescent="0.15">
      <c r="A24" s="355" t="s">
        <v>276</v>
      </c>
      <c r="B24" s="350">
        <v>11</v>
      </c>
      <c r="C24" s="350">
        <v>1231</v>
      </c>
      <c r="D24" s="352">
        <v>9790.6340541931149</v>
      </c>
      <c r="E24" s="351">
        <f t="shared" si="0"/>
        <v>19581.26810838623</v>
      </c>
    </row>
    <row r="25" spans="1:5" x14ac:dyDescent="0.15">
      <c r="A25" s="355" t="s">
        <v>276</v>
      </c>
      <c r="B25" s="350">
        <v>12</v>
      </c>
      <c r="C25" s="350">
        <v>3301</v>
      </c>
      <c r="D25" s="351">
        <v>7608.01101854236</v>
      </c>
      <c r="E25" s="351">
        <f t="shared" si="0"/>
        <v>15216.02203708472</v>
      </c>
    </row>
    <row r="26" spans="1:5" x14ac:dyDescent="0.15">
      <c r="A26" s="355" t="s">
        <v>277</v>
      </c>
      <c r="B26" s="350">
        <v>11</v>
      </c>
      <c r="C26" s="350">
        <v>1231</v>
      </c>
      <c r="D26" s="352">
        <v>9790.6340541931149</v>
      </c>
      <c r="E26" s="351">
        <f t="shared" si="0"/>
        <v>19581.26810838623</v>
      </c>
    </row>
    <row r="27" spans="1:5" x14ac:dyDescent="0.15">
      <c r="A27" s="355" t="s">
        <v>277</v>
      </c>
      <c r="B27" s="350">
        <v>12</v>
      </c>
      <c r="C27" s="350">
        <v>3301</v>
      </c>
      <c r="D27" s="351">
        <v>7608.01101854236</v>
      </c>
      <c r="E27" s="351">
        <f t="shared" si="0"/>
        <v>15216.02203708472</v>
      </c>
    </row>
    <row r="28" spans="1:5" x14ac:dyDescent="0.15">
      <c r="A28" s="355" t="s">
        <v>280</v>
      </c>
      <c r="B28" s="350">
        <v>11</v>
      </c>
      <c r="C28" s="350">
        <v>1231</v>
      </c>
      <c r="D28" s="352">
        <v>9790.6340541931149</v>
      </c>
      <c r="E28" s="351">
        <f t="shared" si="0"/>
        <v>19581.26810838623</v>
      </c>
    </row>
    <row r="29" spans="1:5" x14ac:dyDescent="0.15">
      <c r="A29" s="355" t="s">
        <v>280</v>
      </c>
      <c r="B29" s="350">
        <v>12</v>
      </c>
      <c r="C29" s="350">
        <v>3301</v>
      </c>
      <c r="D29" s="351">
        <v>7608.01101854236</v>
      </c>
      <c r="E29" s="351">
        <f t="shared" si="0"/>
        <v>15216.02203708472</v>
      </c>
    </row>
    <row r="30" spans="1:5" x14ac:dyDescent="0.15">
      <c r="A30" s="355" t="s">
        <v>338</v>
      </c>
      <c r="B30" s="350">
        <v>11</v>
      </c>
      <c r="C30" s="350">
        <v>1231</v>
      </c>
      <c r="D30" s="352">
        <v>9790.6340541931149</v>
      </c>
      <c r="E30" s="351">
        <f t="shared" si="0"/>
        <v>19581.26810838623</v>
      </c>
    </row>
    <row r="31" spans="1:5" x14ac:dyDescent="0.15">
      <c r="A31" s="355" t="s">
        <v>338</v>
      </c>
      <c r="B31" s="350">
        <v>12</v>
      </c>
      <c r="C31" s="350">
        <v>3301</v>
      </c>
      <c r="D31" s="351">
        <v>7608.01101854236</v>
      </c>
      <c r="E31" s="351">
        <f t="shared" si="0"/>
        <v>15216.02203708472</v>
      </c>
    </row>
    <row r="32" spans="1:5" x14ac:dyDescent="0.15">
      <c r="A32" s="355" t="s">
        <v>340</v>
      </c>
      <c r="B32" s="350">
        <v>11</v>
      </c>
      <c r="C32" s="350">
        <v>1231</v>
      </c>
      <c r="D32" s="352">
        <v>9790.6340541931149</v>
      </c>
      <c r="E32" s="351">
        <f t="shared" si="0"/>
        <v>19581.26810838623</v>
      </c>
    </row>
    <row r="33" spans="1:5" x14ac:dyDescent="0.15">
      <c r="A33" s="355" t="s">
        <v>340</v>
      </c>
      <c r="B33" s="350">
        <v>12</v>
      </c>
      <c r="C33" s="350">
        <v>3301</v>
      </c>
      <c r="D33" s="351">
        <v>7608.01101854236</v>
      </c>
      <c r="E33" s="351">
        <f t="shared" si="0"/>
        <v>15216.02203708472</v>
      </c>
    </row>
    <row r="34" spans="1:5" x14ac:dyDescent="0.15">
      <c r="A34" s="355" t="s">
        <v>342</v>
      </c>
      <c r="B34" s="350">
        <v>11</v>
      </c>
      <c r="C34" s="350">
        <v>1231</v>
      </c>
      <c r="D34" s="352">
        <v>9790.6340541931149</v>
      </c>
      <c r="E34" s="351">
        <f t="shared" si="0"/>
        <v>19581.26810838623</v>
      </c>
    </row>
    <row r="35" spans="1:5" x14ac:dyDescent="0.15">
      <c r="A35" s="355" t="s">
        <v>342</v>
      </c>
      <c r="B35" s="350">
        <v>12</v>
      </c>
      <c r="C35" s="350">
        <v>3301</v>
      </c>
      <c r="D35" s="351">
        <v>7608.01101854236</v>
      </c>
      <c r="E35" s="351">
        <f t="shared" si="0"/>
        <v>15216.02203708472</v>
      </c>
    </row>
    <row r="36" spans="1:5" x14ac:dyDescent="0.15">
      <c r="A36" s="355" t="s">
        <v>344</v>
      </c>
      <c r="B36" s="350">
        <v>11</v>
      </c>
      <c r="C36" s="350">
        <v>1231</v>
      </c>
      <c r="D36" s="352">
        <v>9790.6340541931149</v>
      </c>
      <c r="E36" s="351">
        <f t="shared" si="0"/>
        <v>19581.26810838623</v>
      </c>
    </row>
    <row r="37" spans="1:5" x14ac:dyDescent="0.15">
      <c r="A37" s="355" t="s">
        <v>344</v>
      </c>
      <c r="B37" s="350">
        <v>12</v>
      </c>
      <c r="C37" s="350">
        <v>3301</v>
      </c>
      <c r="D37" s="351">
        <v>7608.01101854236</v>
      </c>
      <c r="E37" s="351">
        <f t="shared" si="0"/>
        <v>15216.02203708472</v>
      </c>
    </row>
    <row r="38" spans="1:5" x14ac:dyDescent="0.15">
      <c r="A38" s="355" t="s">
        <v>357</v>
      </c>
      <c r="B38" s="350">
        <v>11</v>
      </c>
      <c r="C38" s="350">
        <v>1231</v>
      </c>
      <c r="D38" s="352">
        <v>9790.6340541931149</v>
      </c>
      <c r="E38" s="351">
        <f t="shared" si="0"/>
        <v>19581.26810838623</v>
      </c>
    </row>
    <row r="39" spans="1:5" x14ac:dyDescent="0.15">
      <c r="A39" s="355" t="s">
        <v>357</v>
      </c>
      <c r="B39" s="350">
        <v>12</v>
      </c>
      <c r="C39" s="350">
        <v>3301</v>
      </c>
      <c r="D39" s="351">
        <v>7608.01101854236</v>
      </c>
      <c r="E39" s="351">
        <f t="shared" si="0"/>
        <v>15216.02203708472</v>
      </c>
    </row>
    <row r="40" spans="1:5" x14ac:dyDescent="0.15">
      <c r="A40" s="355" t="s">
        <v>359</v>
      </c>
      <c r="B40" s="350">
        <v>11</v>
      </c>
      <c r="C40" s="350">
        <v>1231</v>
      </c>
      <c r="D40" s="352">
        <v>9790.6340541931149</v>
      </c>
      <c r="E40" s="351">
        <f t="shared" si="0"/>
        <v>19581.26810838623</v>
      </c>
    </row>
    <row r="41" spans="1:5" x14ac:dyDescent="0.15">
      <c r="A41" s="355" t="s">
        <v>359</v>
      </c>
      <c r="B41" s="350">
        <v>12</v>
      </c>
      <c r="C41" s="350">
        <v>3301</v>
      </c>
      <c r="D41" s="351">
        <v>7608.01101854236</v>
      </c>
      <c r="E41" s="351">
        <f t="shared" si="0"/>
        <v>15216.02203708472</v>
      </c>
    </row>
    <row r="42" spans="1:5" x14ac:dyDescent="0.15">
      <c r="A42" s="355" t="s">
        <v>361</v>
      </c>
      <c r="B42" s="350">
        <v>11</v>
      </c>
      <c r="C42" s="350">
        <v>1231</v>
      </c>
      <c r="D42" s="352">
        <v>9790.6340541931149</v>
      </c>
      <c r="E42" s="351">
        <f t="shared" si="0"/>
        <v>19581.26810838623</v>
      </c>
    </row>
    <row r="43" spans="1:5" x14ac:dyDescent="0.15">
      <c r="A43" s="355" t="s">
        <v>361</v>
      </c>
      <c r="B43" s="350">
        <v>12</v>
      </c>
      <c r="C43" s="350">
        <v>3301</v>
      </c>
      <c r="D43" s="351">
        <v>7608.01101854236</v>
      </c>
      <c r="E43" s="351">
        <f t="shared" si="0"/>
        <v>15216.02203708472</v>
      </c>
    </row>
    <row r="44" spans="1:5" x14ac:dyDescent="0.15">
      <c r="A44" s="355" t="s">
        <v>363</v>
      </c>
      <c r="B44" s="350">
        <v>11</v>
      </c>
      <c r="C44" s="350">
        <v>1231</v>
      </c>
      <c r="D44" s="352">
        <v>9790.6340541931149</v>
      </c>
      <c r="E44" s="351">
        <f t="shared" si="0"/>
        <v>19581.26810838623</v>
      </c>
    </row>
    <row r="45" spans="1:5" x14ac:dyDescent="0.15">
      <c r="A45" s="355" t="s">
        <v>363</v>
      </c>
      <c r="B45" s="350">
        <v>12</v>
      </c>
      <c r="C45" s="350">
        <v>3301</v>
      </c>
      <c r="D45" s="351">
        <v>7608.01101854236</v>
      </c>
      <c r="E45" s="351">
        <f t="shared" si="0"/>
        <v>15216.02203708472</v>
      </c>
    </row>
    <row r="46" spans="1:5" x14ac:dyDescent="0.15">
      <c r="A46" s="355" t="s">
        <v>371</v>
      </c>
      <c r="B46" s="350">
        <v>11</v>
      </c>
      <c r="C46" s="350">
        <v>1231</v>
      </c>
      <c r="D46" s="352">
        <v>9790.6340541931149</v>
      </c>
      <c r="E46" s="351">
        <f t="shared" si="0"/>
        <v>19581.26810838623</v>
      </c>
    </row>
    <row r="47" spans="1:5" x14ac:dyDescent="0.15">
      <c r="A47" s="355" t="s">
        <v>371</v>
      </c>
      <c r="B47" s="350">
        <v>12</v>
      </c>
      <c r="C47" s="350">
        <v>3301</v>
      </c>
      <c r="D47" s="351">
        <v>7608.01101854236</v>
      </c>
      <c r="E47" s="351">
        <f t="shared" si="0"/>
        <v>15216.02203708472</v>
      </c>
    </row>
    <row r="48" spans="1:5" x14ac:dyDescent="0.15">
      <c r="A48" s="355" t="s">
        <v>373</v>
      </c>
      <c r="B48" s="350">
        <v>11</v>
      </c>
      <c r="C48" s="350">
        <v>1231</v>
      </c>
      <c r="D48" s="352">
        <v>9790.6340541931149</v>
      </c>
      <c r="E48" s="351">
        <f t="shared" si="0"/>
        <v>19581.26810838623</v>
      </c>
    </row>
    <row r="49" spans="1:5" x14ac:dyDescent="0.15">
      <c r="A49" s="355" t="s">
        <v>373</v>
      </c>
      <c r="B49" s="350">
        <v>12</v>
      </c>
      <c r="C49" s="350">
        <v>3301</v>
      </c>
      <c r="D49" s="351">
        <v>7608.01101854236</v>
      </c>
      <c r="E49" s="351">
        <f t="shared" si="0"/>
        <v>15216.02203708472</v>
      </c>
    </row>
    <row r="50" spans="1:5" x14ac:dyDescent="0.15">
      <c r="A50" s="355" t="s">
        <v>375</v>
      </c>
      <c r="B50" s="350">
        <v>11</v>
      </c>
      <c r="C50" s="350">
        <v>1231</v>
      </c>
      <c r="D50" s="352">
        <v>9790.6340541931149</v>
      </c>
      <c r="E50" s="351">
        <f t="shared" si="0"/>
        <v>19581.26810838623</v>
      </c>
    </row>
    <row r="51" spans="1:5" x14ac:dyDescent="0.15">
      <c r="A51" s="355" t="s">
        <v>375</v>
      </c>
      <c r="B51" s="350">
        <v>12</v>
      </c>
      <c r="C51" s="350">
        <v>3301</v>
      </c>
      <c r="D51" s="351">
        <v>7608.01101854236</v>
      </c>
      <c r="E51" s="351">
        <f t="shared" si="0"/>
        <v>15216.02203708472</v>
      </c>
    </row>
    <row r="52" spans="1:5" x14ac:dyDescent="0.15">
      <c r="A52" s="355" t="s">
        <v>377</v>
      </c>
      <c r="B52" s="350">
        <v>11</v>
      </c>
      <c r="C52" s="350">
        <v>1231</v>
      </c>
      <c r="D52" s="352">
        <v>9790.6340541931149</v>
      </c>
      <c r="E52" s="351">
        <f t="shared" si="0"/>
        <v>19581.26810838623</v>
      </c>
    </row>
    <row r="53" spans="1:5" x14ac:dyDescent="0.15">
      <c r="A53" s="355" t="s">
        <v>377</v>
      </c>
      <c r="B53" s="350">
        <v>12</v>
      </c>
      <c r="C53" s="350">
        <v>3301</v>
      </c>
      <c r="D53" s="351">
        <v>7608.01101854236</v>
      </c>
      <c r="E53" s="351">
        <f t="shared" si="0"/>
        <v>15216.02203708472</v>
      </c>
    </row>
    <row r="54" spans="1:5" x14ac:dyDescent="0.15">
      <c r="A54" s="355" t="s">
        <v>379</v>
      </c>
      <c r="B54" s="350">
        <v>11</v>
      </c>
      <c r="C54" s="350">
        <v>1231</v>
      </c>
      <c r="D54" s="352">
        <v>9790.6340541931149</v>
      </c>
      <c r="E54" s="351">
        <f t="shared" si="0"/>
        <v>19581.26810838623</v>
      </c>
    </row>
    <row r="55" spans="1:5" x14ac:dyDescent="0.15">
      <c r="A55" s="355" t="s">
        <v>379</v>
      </c>
      <c r="B55" s="350">
        <v>12</v>
      </c>
      <c r="C55" s="350">
        <v>3301</v>
      </c>
      <c r="D55" s="351">
        <v>7608.01101854236</v>
      </c>
      <c r="E55" s="351">
        <f t="shared" si="0"/>
        <v>15216.02203708472</v>
      </c>
    </row>
    <row r="56" spans="1:5" x14ac:dyDescent="0.15">
      <c r="A56" s="355" t="s">
        <v>282</v>
      </c>
      <c r="B56" s="350">
        <v>11</v>
      </c>
      <c r="C56" s="350">
        <v>1231</v>
      </c>
      <c r="D56" s="352">
        <v>15191.366797735376</v>
      </c>
      <c r="E56" s="351">
        <f t="shared" si="0"/>
        <v>30382.733595470752</v>
      </c>
    </row>
    <row r="57" spans="1:5" x14ac:dyDescent="0.15">
      <c r="A57" s="355" t="s">
        <v>282</v>
      </c>
      <c r="B57" s="350">
        <v>12</v>
      </c>
      <c r="C57" s="350">
        <v>3301</v>
      </c>
      <c r="D57" s="351">
        <v>11804.760074184429</v>
      </c>
      <c r="E57" s="351">
        <f t="shared" si="0"/>
        <v>23609.520148368858</v>
      </c>
    </row>
    <row r="58" spans="1:5" x14ac:dyDescent="0.15">
      <c r="A58" s="355" t="s">
        <v>213</v>
      </c>
      <c r="B58" s="350">
        <v>11</v>
      </c>
      <c r="C58" s="350">
        <v>1231</v>
      </c>
      <c r="D58" s="352">
        <v>15191.366797735376</v>
      </c>
      <c r="E58" s="351">
        <f t="shared" si="0"/>
        <v>30382.733595470752</v>
      </c>
    </row>
    <row r="59" spans="1:5" x14ac:dyDescent="0.15">
      <c r="A59" s="355" t="s">
        <v>213</v>
      </c>
      <c r="B59" s="350">
        <v>12</v>
      </c>
      <c r="C59" s="350">
        <v>3301</v>
      </c>
      <c r="D59" s="351">
        <v>11804.760074184429</v>
      </c>
      <c r="E59" s="351">
        <f t="shared" si="0"/>
        <v>23609.520148368858</v>
      </c>
    </row>
    <row r="60" spans="1:5" x14ac:dyDescent="0.15">
      <c r="A60" s="355" t="s">
        <v>214</v>
      </c>
      <c r="B60" s="350">
        <v>11</v>
      </c>
      <c r="C60" s="350">
        <v>1231</v>
      </c>
      <c r="D60" s="352">
        <v>15191.366797735376</v>
      </c>
      <c r="E60" s="351">
        <f t="shared" si="0"/>
        <v>30382.733595470752</v>
      </c>
    </row>
    <row r="61" spans="1:5" x14ac:dyDescent="0.15">
      <c r="A61" s="355" t="s">
        <v>214</v>
      </c>
      <c r="B61" s="350">
        <v>12</v>
      </c>
      <c r="C61" s="350">
        <v>3301</v>
      </c>
      <c r="D61" s="351">
        <v>11804.760074184429</v>
      </c>
      <c r="E61" s="351">
        <f t="shared" si="0"/>
        <v>23609.520148368858</v>
      </c>
    </row>
    <row r="62" spans="1:5" x14ac:dyDescent="0.15">
      <c r="A62" s="355" t="s">
        <v>215</v>
      </c>
      <c r="B62" s="350">
        <v>11</v>
      </c>
      <c r="C62" s="350">
        <v>1231</v>
      </c>
      <c r="D62" s="352">
        <v>15191.366797735376</v>
      </c>
      <c r="E62" s="351">
        <f t="shared" si="0"/>
        <v>30382.733595470752</v>
      </c>
    </row>
    <row r="63" spans="1:5" x14ac:dyDescent="0.15">
      <c r="A63" s="355" t="s">
        <v>215</v>
      </c>
      <c r="B63" s="350">
        <v>12</v>
      </c>
      <c r="C63" s="350">
        <v>3301</v>
      </c>
      <c r="D63" s="351">
        <v>11804.760074184429</v>
      </c>
      <c r="E63" s="351">
        <f t="shared" si="0"/>
        <v>23609.520148368858</v>
      </c>
    </row>
    <row r="64" spans="1:5" x14ac:dyDescent="0.15">
      <c r="A64" s="355" t="s">
        <v>216</v>
      </c>
      <c r="B64" s="350">
        <v>11</v>
      </c>
      <c r="C64" s="350">
        <v>1231</v>
      </c>
      <c r="D64" s="352">
        <v>15191.366797735376</v>
      </c>
      <c r="E64" s="351">
        <f t="shared" si="0"/>
        <v>30382.733595470752</v>
      </c>
    </row>
    <row r="65" spans="1:5" x14ac:dyDescent="0.15">
      <c r="A65" s="355" t="s">
        <v>216</v>
      </c>
      <c r="B65" s="350">
        <v>12</v>
      </c>
      <c r="C65" s="350">
        <v>3301</v>
      </c>
      <c r="D65" s="351">
        <v>11804.760074184429</v>
      </c>
      <c r="E65" s="351">
        <f t="shared" si="0"/>
        <v>23609.520148368858</v>
      </c>
    </row>
    <row r="66" spans="1:5" x14ac:dyDescent="0.15">
      <c r="A66" s="355" t="s">
        <v>217</v>
      </c>
      <c r="B66" s="350">
        <v>11</v>
      </c>
      <c r="C66" s="350">
        <v>1231</v>
      </c>
      <c r="D66" s="352">
        <v>15191.366797735376</v>
      </c>
      <c r="E66" s="351">
        <f t="shared" si="0"/>
        <v>30382.733595470752</v>
      </c>
    </row>
    <row r="67" spans="1:5" x14ac:dyDescent="0.15">
      <c r="A67" s="355" t="s">
        <v>217</v>
      </c>
      <c r="B67" s="350">
        <v>12</v>
      </c>
      <c r="C67" s="350">
        <v>3301</v>
      </c>
      <c r="D67" s="351">
        <v>11804.760074184429</v>
      </c>
      <c r="E67" s="351">
        <f t="shared" ref="E67:E130" si="1">+D67*2</f>
        <v>23609.520148368858</v>
      </c>
    </row>
    <row r="68" spans="1:5" x14ac:dyDescent="0.15">
      <c r="A68" s="355" t="s">
        <v>218</v>
      </c>
      <c r="B68" s="350">
        <v>11</v>
      </c>
      <c r="C68" s="350">
        <v>1231</v>
      </c>
      <c r="D68" s="352">
        <v>15191.366797735376</v>
      </c>
      <c r="E68" s="351">
        <f t="shared" si="1"/>
        <v>30382.733595470752</v>
      </c>
    </row>
    <row r="69" spans="1:5" x14ac:dyDescent="0.15">
      <c r="A69" s="355" t="s">
        <v>218</v>
      </c>
      <c r="B69" s="350">
        <v>12</v>
      </c>
      <c r="C69" s="350">
        <v>3301</v>
      </c>
      <c r="D69" s="351">
        <v>11804.760074184429</v>
      </c>
      <c r="E69" s="351">
        <f t="shared" si="1"/>
        <v>23609.520148368858</v>
      </c>
    </row>
    <row r="70" spans="1:5" x14ac:dyDescent="0.15">
      <c r="A70" s="355" t="s">
        <v>219</v>
      </c>
      <c r="B70" s="350">
        <v>11</v>
      </c>
      <c r="C70" s="350">
        <v>1231</v>
      </c>
      <c r="D70" s="352">
        <v>15191.366797735376</v>
      </c>
      <c r="E70" s="351">
        <f t="shared" si="1"/>
        <v>30382.733595470752</v>
      </c>
    </row>
    <row r="71" spans="1:5" x14ac:dyDescent="0.15">
      <c r="A71" s="355" t="s">
        <v>219</v>
      </c>
      <c r="B71" s="350">
        <v>12</v>
      </c>
      <c r="C71" s="350">
        <v>3301</v>
      </c>
      <c r="D71" s="351">
        <v>11804.760074184429</v>
      </c>
      <c r="E71" s="351">
        <f t="shared" si="1"/>
        <v>23609.520148368858</v>
      </c>
    </row>
    <row r="72" spans="1:5" x14ac:dyDescent="0.15">
      <c r="A72" s="355" t="s">
        <v>220</v>
      </c>
      <c r="B72" s="350">
        <v>11</v>
      </c>
      <c r="C72" s="350">
        <v>1231</v>
      </c>
      <c r="D72" s="352">
        <v>15191.366797735376</v>
      </c>
      <c r="E72" s="351">
        <f t="shared" si="1"/>
        <v>30382.733595470752</v>
      </c>
    </row>
    <row r="73" spans="1:5" x14ac:dyDescent="0.15">
      <c r="A73" s="355" t="s">
        <v>220</v>
      </c>
      <c r="B73" s="350">
        <v>12</v>
      </c>
      <c r="C73" s="350">
        <v>3301</v>
      </c>
      <c r="D73" s="351">
        <v>11804.760074184429</v>
      </c>
      <c r="E73" s="351">
        <f t="shared" si="1"/>
        <v>23609.520148368858</v>
      </c>
    </row>
    <row r="74" spans="1:5" x14ac:dyDescent="0.15">
      <c r="A74" s="355" t="s">
        <v>221</v>
      </c>
      <c r="B74" s="350">
        <v>11</v>
      </c>
      <c r="C74" s="350">
        <v>1231</v>
      </c>
      <c r="D74" s="352">
        <v>15191.366797735376</v>
      </c>
      <c r="E74" s="351">
        <f t="shared" si="1"/>
        <v>30382.733595470752</v>
      </c>
    </row>
    <row r="75" spans="1:5" x14ac:dyDescent="0.15">
      <c r="A75" s="355" t="s">
        <v>221</v>
      </c>
      <c r="B75" s="350">
        <v>12</v>
      </c>
      <c r="C75" s="350">
        <v>3301</v>
      </c>
      <c r="D75" s="351">
        <v>11804.760074184429</v>
      </c>
      <c r="E75" s="351">
        <f t="shared" si="1"/>
        <v>23609.520148368858</v>
      </c>
    </row>
    <row r="76" spans="1:5" x14ac:dyDescent="0.15">
      <c r="A76" s="355" t="s">
        <v>222</v>
      </c>
      <c r="B76" s="350">
        <v>11</v>
      </c>
      <c r="C76" s="350">
        <v>1231</v>
      </c>
      <c r="D76" s="352">
        <v>15191.366797735376</v>
      </c>
      <c r="E76" s="351">
        <f t="shared" si="1"/>
        <v>30382.733595470752</v>
      </c>
    </row>
    <row r="77" spans="1:5" x14ac:dyDescent="0.15">
      <c r="A77" s="355" t="s">
        <v>222</v>
      </c>
      <c r="B77" s="350">
        <v>12</v>
      </c>
      <c r="C77" s="350">
        <v>3301</v>
      </c>
      <c r="D77" s="351">
        <v>11804.760074184429</v>
      </c>
      <c r="E77" s="351">
        <f t="shared" si="1"/>
        <v>23609.520148368858</v>
      </c>
    </row>
    <row r="78" spans="1:5" x14ac:dyDescent="0.15">
      <c r="A78" s="355" t="s">
        <v>223</v>
      </c>
      <c r="B78" s="350">
        <v>11</v>
      </c>
      <c r="C78" s="350">
        <v>1231</v>
      </c>
      <c r="D78" s="352">
        <v>15191.366797735376</v>
      </c>
      <c r="E78" s="351">
        <f t="shared" si="1"/>
        <v>30382.733595470752</v>
      </c>
    </row>
    <row r="79" spans="1:5" x14ac:dyDescent="0.15">
      <c r="A79" s="355" t="s">
        <v>223</v>
      </c>
      <c r="B79" s="350">
        <v>12</v>
      </c>
      <c r="C79" s="350">
        <v>3301</v>
      </c>
      <c r="D79" s="351">
        <v>11804.760074184429</v>
      </c>
      <c r="E79" s="351">
        <f t="shared" si="1"/>
        <v>23609.520148368858</v>
      </c>
    </row>
    <row r="80" spans="1:5" x14ac:dyDescent="0.15">
      <c r="A80" s="355" t="s">
        <v>224</v>
      </c>
      <c r="B80" s="350">
        <v>11</v>
      </c>
      <c r="C80" s="350">
        <v>1231</v>
      </c>
      <c r="D80" s="352">
        <v>15191.366797735376</v>
      </c>
      <c r="E80" s="351">
        <f t="shared" si="1"/>
        <v>30382.733595470752</v>
      </c>
    </row>
    <row r="81" spans="1:5" x14ac:dyDescent="0.15">
      <c r="A81" s="355" t="s">
        <v>224</v>
      </c>
      <c r="B81" s="350">
        <v>12</v>
      </c>
      <c r="C81" s="350">
        <v>3301</v>
      </c>
      <c r="D81" s="351">
        <v>11804.760074184429</v>
      </c>
      <c r="E81" s="351">
        <f t="shared" si="1"/>
        <v>23609.520148368858</v>
      </c>
    </row>
    <row r="82" spans="1:5" x14ac:dyDescent="0.15">
      <c r="A82" s="355" t="s">
        <v>225</v>
      </c>
      <c r="B82" s="350">
        <v>11</v>
      </c>
      <c r="C82" s="350">
        <v>1231</v>
      </c>
      <c r="D82" s="352">
        <v>15191.366797735376</v>
      </c>
      <c r="E82" s="351">
        <f t="shared" si="1"/>
        <v>30382.733595470752</v>
      </c>
    </row>
    <row r="83" spans="1:5" x14ac:dyDescent="0.15">
      <c r="A83" s="355" t="s">
        <v>225</v>
      </c>
      <c r="B83" s="350">
        <v>12</v>
      </c>
      <c r="C83" s="350">
        <v>3301</v>
      </c>
      <c r="D83" s="351">
        <v>11804.760074184429</v>
      </c>
      <c r="E83" s="351">
        <f t="shared" si="1"/>
        <v>23609.520148368858</v>
      </c>
    </row>
    <row r="84" spans="1:5" x14ac:dyDescent="0.15">
      <c r="A84" s="355" t="s">
        <v>265</v>
      </c>
      <c r="B84" s="350">
        <v>11</v>
      </c>
      <c r="C84" s="350">
        <v>1231</v>
      </c>
      <c r="D84" s="352">
        <v>27587.708711982585</v>
      </c>
      <c r="E84" s="351">
        <f t="shared" si="1"/>
        <v>55175.417423965169</v>
      </c>
    </row>
    <row r="85" spans="1:5" x14ac:dyDescent="0.15">
      <c r="A85" s="355" t="s">
        <v>265</v>
      </c>
      <c r="B85" s="350">
        <v>12</v>
      </c>
      <c r="C85" s="350">
        <v>3301</v>
      </c>
      <c r="D85" s="351">
        <v>21437.589301707201</v>
      </c>
      <c r="E85" s="351">
        <f t="shared" si="1"/>
        <v>42875.178603414402</v>
      </c>
    </row>
    <row r="86" spans="1:5" x14ac:dyDescent="0.15">
      <c r="A86" s="355" t="s">
        <v>279</v>
      </c>
      <c r="B86" s="350">
        <v>11</v>
      </c>
      <c r="C86" s="350">
        <v>1231</v>
      </c>
      <c r="D86" s="352">
        <v>13793.832591105383</v>
      </c>
      <c r="E86" s="351">
        <f t="shared" si="1"/>
        <v>27587.665182210767</v>
      </c>
    </row>
    <row r="87" spans="1:5" x14ac:dyDescent="0.15">
      <c r="A87" s="355" t="s">
        <v>279</v>
      </c>
      <c r="B87" s="350">
        <v>12</v>
      </c>
      <c r="C87" s="350">
        <v>3301</v>
      </c>
      <c r="D87" s="351">
        <v>10718.777738007007</v>
      </c>
      <c r="E87" s="351">
        <f t="shared" si="1"/>
        <v>21437.555476014015</v>
      </c>
    </row>
    <row r="88" spans="1:5" x14ac:dyDescent="0.15">
      <c r="A88" s="355" t="s">
        <v>299</v>
      </c>
      <c r="B88" s="350">
        <v>11</v>
      </c>
      <c r="C88" s="350">
        <v>1231</v>
      </c>
      <c r="D88" s="352">
        <v>13793.876120877201</v>
      </c>
      <c r="E88" s="351">
        <f t="shared" si="1"/>
        <v>27587.752241754402</v>
      </c>
    </row>
    <row r="89" spans="1:5" x14ac:dyDescent="0.15">
      <c r="A89" s="355" t="s">
        <v>299</v>
      </c>
      <c r="B89" s="350">
        <v>12</v>
      </c>
      <c r="C89" s="350">
        <v>3301</v>
      </c>
      <c r="D89" s="351">
        <v>10718.811563700194</v>
      </c>
      <c r="E89" s="351">
        <f t="shared" si="1"/>
        <v>21437.623127400388</v>
      </c>
    </row>
    <row r="90" spans="1:5" x14ac:dyDescent="0.15">
      <c r="A90" s="355" t="s">
        <v>346</v>
      </c>
      <c r="B90" s="350">
        <v>11</v>
      </c>
      <c r="C90" s="350">
        <v>1231</v>
      </c>
      <c r="D90" s="352">
        <v>13793.876120877201</v>
      </c>
      <c r="E90" s="351">
        <f t="shared" si="1"/>
        <v>27587.752241754402</v>
      </c>
    </row>
    <row r="91" spans="1:5" x14ac:dyDescent="0.15">
      <c r="A91" s="355" t="s">
        <v>346</v>
      </c>
      <c r="B91" s="350">
        <v>12</v>
      </c>
      <c r="C91" s="350">
        <v>3301</v>
      </c>
      <c r="D91" s="351">
        <v>10718.811563700194</v>
      </c>
      <c r="E91" s="351">
        <f t="shared" si="1"/>
        <v>21437.623127400388</v>
      </c>
    </row>
    <row r="92" spans="1:5" x14ac:dyDescent="0.15">
      <c r="A92" s="355" t="s">
        <v>348</v>
      </c>
      <c r="B92" s="350">
        <v>11</v>
      </c>
      <c r="C92" s="350">
        <v>1231</v>
      </c>
      <c r="D92" s="352">
        <v>13793.876120877201</v>
      </c>
      <c r="E92" s="351">
        <f t="shared" si="1"/>
        <v>27587.752241754402</v>
      </c>
    </row>
    <row r="93" spans="1:5" x14ac:dyDescent="0.15">
      <c r="A93" s="355" t="s">
        <v>348</v>
      </c>
      <c r="B93" s="350">
        <v>12</v>
      </c>
      <c r="C93" s="350">
        <v>3301</v>
      </c>
      <c r="D93" s="351">
        <v>10718.811563700194</v>
      </c>
      <c r="E93" s="351">
        <f t="shared" si="1"/>
        <v>21437.623127400388</v>
      </c>
    </row>
    <row r="94" spans="1:5" x14ac:dyDescent="0.15">
      <c r="A94" s="355" t="s">
        <v>349</v>
      </c>
      <c r="B94" s="350">
        <v>11</v>
      </c>
      <c r="C94" s="350">
        <v>1231</v>
      </c>
      <c r="D94" s="352">
        <v>13793.832591105383</v>
      </c>
      <c r="E94" s="351">
        <f t="shared" si="1"/>
        <v>27587.665182210767</v>
      </c>
    </row>
    <row r="95" spans="1:5" x14ac:dyDescent="0.15">
      <c r="A95" s="355" t="s">
        <v>349</v>
      </c>
      <c r="B95" s="350">
        <v>12</v>
      </c>
      <c r="C95" s="350">
        <v>3301</v>
      </c>
      <c r="D95" s="351">
        <v>10718.777738007007</v>
      </c>
      <c r="E95" s="351">
        <f t="shared" si="1"/>
        <v>21437.555476014015</v>
      </c>
    </row>
    <row r="96" spans="1:5" x14ac:dyDescent="0.15">
      <c r="A96" s="355" t="s">
        <v>300</v>
      </c>
      <c r="B96" s="350">
        <v>11</v>
      </c>
      <c r="C96" s="350">
        <v>1231</v>
      </c>
      <c r="D96" s="352">
        <v>14421.024053369669</v>
      </c>
      <c r="E96" s="351">
        <f t="shared" si="1"/>
        <v>28842.048106739338</v>
      </c>
    </row>
    <row r="97" spans="1:5" x14ac:dyDescent="0.15">
      <c r="A97" s="355" t="s">
        <v>300</v>
      </c>
      <c r="B97" s="350">
        <v>12</v>
      </c>
      <c r="C97" s="350">
        <v>3301</v>
      </c>
      <c r="D97" s="351">
        <v>11206.149600669854</v>
      </c>
      <c r="E97" s="351">
        <f t="shared" si="1"/>
        <v>22412.299201339709</v>
      </c>
    </row>
    <row r="98" spans="1:5" x14ac:dyDescent="0.15">
      <c r="A98" s="355" t="s">
        <v>286</v>
      </c>
      <c r="B98" s="350">
        <v>11</v>
      </c>
      <c r="C98" s="350">
        <v>1231</v>
      </c>
      <c r="D98" s="352">
        <v>19751.034218472803</v>
      </c>
      <c r="E98" s="351">
        <f t="shared" si="1"/>
        <v>39502.068436945607</v>
      </c>
    </row>
    <row r="99" spans="1:5" x14ac:dyDescent="0.15">
      <c r="A99" s="355" t="s">
        <v>286</v>
      </c>
      <c r="B99" s="350">
        <v>12</v>
      </c>
      <c r="C99" s="350">
        <v>3301</v>
      </c>
      <c r="D99" s="351">
        <v>15347.942240512253</v>
      </c>
      <c r="E99" s="351">
        <f t="shared" si="1"/>
        <v>30695.884481024506</v>
      </c>
    </row>
    <row r="100" spans="1:5" x14ac:dyDescent="0.15">
      <c r="A100" s="355" t="s">
        <v>289</v>
      </c>
      <c r="B100" s="350">
        <v>11</v>
      </c>
      <c r="C100" s="350">
        <v>1231</v>
      </c>
      <c r="D100" s="352">
        <v>19751.034218472803</v>
      </c>
      <c r="E100" s="351">
        <f t="shared" si="1"/>
        <v>39502.068436945607</v>
      </c>
    </row>
    <row r="101" spans="1:5" x14ac:dyDescent="0.15">
      <c r="A101" s="355" t="s">
        <v>289</v>
      </c>
      <c r="B101" s="350">
        <v>12</v>
      </c>
      <c r="C101" s="350">
        <v>3301</v>
      </c>
      <c r="D101" s="351">
        <v>15347.942240512253</v>
      </c>
      <c r="E101" s="351">
        <f t="shared" si="1"/>
        <v>30695.884481024506</v>
      </c>
    </row>
    <row r="102" spans="1:5" x14ac:dyDescent="0.15">
      <c r="A102" s="355" t="s">
        <v>351</v>
      </c>
      <c r="B102" s="350">
        <v>11</v>
      </c>
      <c r="C102" s="350">
        <v>1231</v>
      </c>
      <c r="D102" s="352">
        <v>13973.801596041749</v>
      </c>
      <c r="E102" s="351">
        <f t="shared" si="1"/>
        <v>27947.603192083498</v>
      </c>
    </row>
    <row r="103" spans="1:5" x14ac:dyDescent="0.15">
      <c r="A103" s="355" t="s">
        <v>351</v>
      </c>
      <c r="B103" s="350">
        <v>12</v>
      </c>
      <c r="C103" s="350">
        <v>3301</v>
      </c>
      <c r="D103" s="351">
        <v>10858.626308076437</v>
      </c>
      <c r="E103" s="351">
        <f t="shared" si="1"/>
        <v>21717.252616152873</v>
      </c>
    </row>
    <row r="104" spans="1:5" x14ac:dyDescent="0.15">
      <c r="A104" s="355" t="s">
        <v>353</v>
      </c>
      <c r="B104" s="350">
        <v>11</v>
      </c>
      <c r="C104" s="350">
        <v>1231</v>
      </c>
      <c r="D104" s="352">
        <v>13973.801596041749</v>
      </c>
      <c r="E104" s="351">
        <f t="shared" si="1"/>
        <v>27947.603192083498</v>
      </c>
    </row>
    <row r="105" spans="1:5" x14ac:dyDescent="0.15">
      <c r="A105" s="355" t="s">
        <v>353</v>
      </c>
      <c r="B105" s="350">
        <v>12</v>
      </c>
      <c r="C105" s="350">
        <v>3301</v>
      </c>
      <c r="D105" s="351">
        <v>10858.626308076437</v>
      </c>
      <c r="E105" s="351">
        <f t="shared" si="1"/>
        <v>21717.252616152873</v>
      </c>
    </row>
    <row r="106" spans="1:5" x14ac:dyDescent="0.15">
      <c r="A106" s="355" t="s">
        <v>388</v>
      </c>
      <c r="B106" s="350">
        <v>11</v>
      </c>
      <c r="C106" s="350">
        <v>1231</v>
      </c>
      <c r="D106" s="352">
        <v>13973.801596041749</v>
      </c>
      <c r="E106" s="351">
        <f t="shared" si="1"/>
        <v>27947.603192083498</v>
      </c>
    </row>
    <row r="107" spans="1:5" x14ac:dyDescent="0.15">
      <c r="A107" s="355" t="s">
        <v>388</v>
      </c>
      <c r="B107" s="350">
        <v>12</v>
      </c>
      <c r="C107" s="350">
        <v>3301</v>
      </c>
      <c r="D107" s="351">
        <v>10858.626308076437</v>
      </c>
      <c r="E107" s="351">
        <f t="shared" si="1"/>
        <v>21717.252616152873</v>
      </c>
    </row>
    <row r="108" spans="1:5" x14ac:dyDescent="0.15">
      <c r="A108" s="355" t="s">
        <v>390</v>
      </c>
      <c r="B108" s="350">
        <v>11</v>
      </c>
      <c r="C108" s="350">
        <v>1231</v>
      </c>
      <c r="D108" s="352">
        <v>13973.801596041749</v>
      </c>
      <c r="E108" s="351">
        <f t="shared" si="1"/>
        <v>27947.603192083498</v>
      </c>
    </row>
    <row r="109" spans="1:5" x14ac:dyDescent="0.15">
      <c r="A109" s="355" t="s">
        <v>390</v>
      </c>
      <c r="B109" s="350">
        <v>12</v>
      </c>
      <c r="C109" s="350">
        <v>3301</v>
      </c>
      <c r="D109" s="351">
        <v>10858.626308076437</v>
      </c>
      <c r="E109" s="351">
        <f t="shared" si="1"/>
        <v>21717.252616152873</v>
      </c>
    </row>
    <row r="110" spans="1:5" x14ac:dyDescent="0.15">
      <c r="A110" s="355" t="s">
        <v>392</v>
      </c>
      <c r="B110" s="350">
        <v>11</v>
      </c>
      <c r="C110" s="350">
        <v>1231</v>
      </c>
      <c r="D110" s="352">
        <v>13973.801596041749</v>
      </c>
      <c r="E110" s="351">
        <f t="shared" si="1"/>
        <v>27947.603192083498</v>
      </c>
    </row>
    <row r="111" spans="1:5" x14ac:dyDescent="0.15">
      <c r="A111" s="355" t="s">
        <v>392</v>
      </c>
      <c r="B111" s="350">
        <v>12</v>
      </c>
      <c r="C111" s="350">
        <v>3301</v>
      </c>
      <c r="D111" s="351">
        <v>10858.626308076437</v>
      </c>
      <c r="E111" s="351">
        <f t="shared" si="1"/>
        <v>21717.252616152873</v>
      </c>
    </row>
    <row r="112" spans="1:5" x14ac:dyDescent="0.15">
      <c r="A112" s="355" t="s">
        <v>291</v>
      </c>
      <c r="B112" s="350">
        <v>11</v>
      </c>
      <c r="C112" s="350">
        <v>1231</v>
      </c>
      <c r="D112" s="352">
        <v>18579.591228340018</v>
      </c>
      <c r="E112" s="351">
        <f t="shared" si="1"/>
        <v>37159.182456680035</v>
      </c>
    </row>
    <row r="113" spans="1:5" x14ac:dyDescent="0.15">
      <c r="A113" s="355" t="s">
        <v>291</v>
      </c>
      <c r="B113" s="350">
        <v>12</v>
      </c>
      <c r="C113" s="350">
        <v>3301</v>
      </c>
      <c r="D113" s="351">
        <v>14437.648675540589</v>
      </c>
      <c r="E113" s="351">
        <f t="shared" si="1"/>
        <v>28875.297351081179</v>
      </c>
    </row>
    <row r="114" spans="1:5" x14ac:dyDescent="0.15">
      <c r="A114" s="355" t="s">
        <v>293</v>
      </c>
      <c r="B114" s="350">
        <v>11</v>
      </c>
      <c r="C114" s="350">
        <v>1231</v>
      </c>
      <c r="D114" s="352">
        <v>18579.591228340018</v>
      </c>
      <c r="E114" s="351">
        <f t="shared" si="1"/>
        <v>37159.182456680035</v>
      </c>
    </row>
    <row r="115" spans="1:5" x14ac:dyDescent="0.15">
      <c r="A115" s="355" t="s">
        <v>293</v>
      </c>
      <c r="B115" s="350">
        <v>12</v>
      </c>
      <c r="C115" s="350">
        <v>3301</v>
      </c>
      <c r="D115" s="351">
        <v>14437.648675540589</v>
      </c>
      <c r="E115" s="351">
        <f t="shared" si="1"/>
        <v>28875.297351081179</v>
      </c>
    </row>
    <row r="116" spans="1:5" x14ac:dyDescent="0.15">
      <c r="A116" s="355" t="s">
        <v>294</v>
      </c>
      <c r="B116" s="350">
        <v>11</v>
      </c>
      <c r="C116" s="350">
        <v>1231</v>
      </c>
      <c r="D116" s="352">
        <v>18579.591228340018</v>
      </c>
      <c r="E116" s="351">
        <f t="shared" si="1"/>
        <v>37159.182456680035</v>
      </c>
    </row>
    <row r="117" spans="1:5" x14ac:dyDescent="0.15">
      <c r="A117" s="355" t="s">
        <v>294</v>
      </c>
      <c r="B117" s="350">
        <v>12</v>
      </c>
      <c r="C117" s="350">
        <v>3301</v>
      </c>
      <c r="D117" s="351">
        <v>14437.648675540589</v>
      </c>
      <c r="E117" s="351">
        <f t="shared" si="1"/>
        <v>28875.297351081179</v>
      </c>
    </row>
    <row r="118" spans="1:5" x14ac:dyDescent="0.15">
      <c r="A118" s="355" t="s">
        <v>227</v>
      </c>
      <c r="B118" s="350">
        <v>11</v>
      </c>
      <c r="C118" s="350">
        <v>1231</v>
      </c>
      <c r="D118" s="352">
        <v>18579.591228340018</v>
      </c>
      <c r="E118" s="351">
        <f t="shared" si="1"/>
        <v>37159.182456680035</v>
      </c>
    </row>
    <row r="119" spans="1:5" x14ac:dyDescent="0.15">
      <c r="A119" s="355" t="s">
        <v>227</v>
      </c>
      <c r="B119" s="350">
        <v>12</v>
      </c>
      <c r="C119" s="350">
        <v>3301</v>
      </c>
      <c r="D119" s="351">
        <v>14437.648675540589</v>
      </c>
      <c r="E119" s="351">
        <f t="shared" si="1"/>
        <v>28875.297351081179</v>
      </c>
    </row>
    <row r="120" spans="1:5" x14ac:dyDescent="0.15">
      <c r="A120" s="355" t="s">
        <v>305</v>
      </c>
      <c r="B120" s="350">
        <v>11</v>
      </c>
      <c r="C120" s="350">
        <v>1231</v>
      </c>
      <c r="D120" s="352">
        <v>18579.591228340018</v>
      </c>
      <c r="E120" s="351">
        <f t="shared" si="1"/>
        <v>37159.182456680035</v>
      </c>
    </row>
    <row r="121" spans="1:5" x14ac:dyDescent="0.15">
      <c r="A121" s="355" t="s">
        <v>305</v>
      </c>
      <c r="B121" s="350">
        <v>12</v>
      </c>
      <c r="C121" s="350">
        <v>3301</v>
      </c>
      <c r="D121" s="351">
        <v>14437.648675540589</v>
      </c>
      <c r="E121" s="351">
        <f t="shared" si="1"/>
        <v>28875.297351081179</v>
      </c>
    </row>
    <row r="122" spans="1:5" x14ac:dyDescent="0.15">
      <c r="A122" s="355" t="s">
        <v>228</v>
      </c>
      <c r="B122" s="350">
        <v>11</v>
      </c>
      <c r="C122" s="350">
        <v>1231</v>
      </c>
      <c r="D122" s="352">
        <v>18579.591228340018</v>
      </c>
      <c r="E122" s="351">
        <f t="shared" si="1"/>
        <v>37159.182456680035</v>
      </c>
    </row>
    <row r="123" spans="1:5" x14ac:dyDescent="0.15">
      <c r="A123" s="355" t="s">
        <v>228</v>
      </c>
      <c r="B123" s="350">
        <v>12</v>
      </c>
      <c r="C123" s="350">
        <v>3301</v>
      </c>
      <c r="D123" s="351">
        <v>14437.648675540589</v>
      </c>
      <c r="E123" s="351">
        <f t="shared" si="1"/>
        <v>28875.297351081179</v>
      </c>
    </row>
    <row r="124" spans="1:5" x14ac:dyDescent="0.15">
      <c r="A124" s="355" t="s">
        <v>229</v>
      </c>
      <c r="B124" s="350">
        <v>11</v>
      </c>
      <c r="C124" s="350">
        <v>1231</v>
      </c>
      <c r="D124" s="352">
        <v>18579.591228340018</v>
      </c>
      <c r="E124" s="351">
        <f t="shared" si="1"/>
        <v>37159.182456680035</v>
      </c>
    </row>
    <row r="125" spans="1:5" x14ac:dyDescent="0.15">
      <c r="A125" s="355" t="s">
        <v>229</v>
      </c>
      <c r="B125" s="350">
        <v>12</v>
      </c>
      <c r="C125" s="350">
        <v>3301</v>
      </c>
      <c r="D125" s="351">
        <v>14437.648675540589</v>
      </c>
      <c r="E125" s="351">
        <f t="shared" si="1"/>
        <v>28875.297351081179</v>
      </c>
    </row>
    <row r="126" spans="1:5" x14ac:dyDescent="0.15">
      <c r="A126" s="355" t="s">
        <v>230</v>
      </c>
      <c r="B126" s="350">
        <v>11</v>
      </c>
      <c r="C126" s="350">
        <v>1231</v>
      </c>
      <c r="D126" s="352">
        <v>18579.591228340018</v>
      </c>
      <c r="E126" s="351">
        <f t="shared" si="1"/>
        <v>37159.182456680035</v>
      </c>
    </row>
    <row r="127" spans="1:5" x14ac:dyDescent="0.15">
      <c r="A127" s="355" t="s">
        <v>230</v>
      </c>
      <c r="B127" s="350">
        <v>12</v>
      </c>
      <c r="C127" s="350">
        <v>3301</v>
      </c>
      <c r="D127" s="351">
        <v>14437.648675540589</v>
      </c>
      <c r="E127" s="351">
        <f t="shared" si="1"/>
        <v>28875.297351081179</v>
      </c>
    </row>
    <row r="128" spans="1:5" x14ac:dyDescent="0.15">
      <c r="A128" s="355" t="s">
        <v>316</v>
      </c>
      <c r="B128" s="350">
        <v>11</v>
      </c>
      <c r="C128" s="350">
        <v>1231</v>
      </c>
      <c r="D128" s="352">
        <v>18579.591228340018</v>
      </c>
      <c r="E128" s="351">
        <f t="shared" si="1"/>
        <v>37159.182456680035</v>
      </c>
    </row>
    <row r="129" spans="1:5" x14ac:dyDescent="0.15">
      <c r="A129" s="355" t="s">
        <v>316</v>
      </c>
      <c r="B129" s="350">
        <v>12</v>
      </c>
      <c r="C129" s="350">
        <v>3301</v>
      </c>
      <c r="D129" s="351">
        <v>14437.648675540589</v>
      </c>
      <c r="E129" s="351">
        <f t="shared" si="1"/>
        <v>28875.297351081179</v>
      </c>
    </row>
    <row r="130" spans="1:5" x14ac:dyDescent="0.15">
      <c r="A130" s="355" t="s">
        <v>318</v>
      </c>
      <c r="B130" s="350">
        <v>11</v>
      </c>
      <c r="C130" s="350">
        <v>1231</v>
      </c>
      <c r="D130" s="352">
        <v>18579.591228340018</v>
      </c>
      <c r="E130" s="351">
        <f t="shared" si="1"/>
        <v>37159.182456680035</v>
      </c>
    </row>
    <row r="131" spans="1:5" x14ac:dyDescent="0.15">
      <c r="A131" s="355" t="s">
        <v>318</v>
      </c>
      <c r="B131" s="350">
        <v>12</v>
      </c>
      <c r="C131" s="350">
        <v>3301</v>
      </c>
      <c r="D131" s="351">
        <v>14437.648675540589</v>
      </c>
      <c r="E131" s="351">
        <f t="shared" ref="E131:E194" si="2">+D131*2</f>
        <v>28875.297351081179</v>
      </c>
    </row>
    <row r="132" spans="1:5" x14ac:dyDescent="0.15">
      <c r="A132" s="356" t="s">
        <v>320</v>
      </c>
      <c r="B132" s="350">
        <v>11</v>
      </c>
      <c r="C132" s="350">
        <v>1231</v>
      </c>
      <c r="D132" s="352">
        <v>18579.591228340018</v>
      </c>
      <c r="E132" s="351">
        <f t="shared" si="2"/>
        <v>37159.182456680035</v>
      </c>
    </row>
    <row r="133" spans="1:5" x14ac:dyDescent="0.15">
      <c r="A133" s="356" t="s">
        <v>320</v>
      </c>
      <c r="B133" s="350">
        <v>12</v>
      </c>
      <c r="C133" s="350">
        <v>3301</v>
      </c>
      <c r="D133" s="351">
        <v>14437.648675540589</v>
      </c>
      <c r="E133" s="351">
        <f t="shared" si="2"/>
        <v>28875.297351081179</v>
      </c>
    </row>
    <row r="134" spans="1:5" x14ac:dyDescent="0.15">
      <c r="A134" s="355" t="s">
        <v>322</v>
      </c>
      <c r="B134" s="350">
        <v>11</v>
      </c>
      <c r="C134" s="350">
        <v>1231</v>
      </c>
      <c r="D134" s="352">
        <v>18579.591228340018</v>
      </c>
      <c r="E134" s="351">
        <f t="shared" si="2"/>
        <v>37159.182456680035</v>
      </c>
    </row>
    <row r="135" spans="1:5" x14ac:dyDescent="0.15">
      <c r="A135" s="355" t="s">
        <v>322</v>
      </c>
      <c r="B135" s="350">
        <v>12</v>
      </c>
      <c r="C135" s="350">
        <v>3301</v>
      </c>
      <c r="D135" s="351">
        <v>14437.648675540589</v>
      </c>
      <c r="E135" s="351">
        <f t="shared" si="2"/>
        <v>28875.297351081179</v>
      </c>
    </row>
    <row r="136" spans="1:5" x14ac:dyDescent="0.15">
      <c r="A136" s="355" t="s">
        <v>330</v>
      </c>
      <c r="B136" s="350">
        <v>11</v>
      </c>
      <c r="C136" s="350">
        <v>1231</v>
      </c>
      <c r="D136" s="352">
        <v>18579.591228340018</v>
      </c>
      <c r="E136" s="351">
        <f t="shared" si="2"/>
        <v>37159.182456680035</v>
      </c>
    </row>
    <row r="137" spans="1:5" x14ac:dyDescent="0.15">
      <c r="A137" s="355" t="s">
        <v>330</v>
      </c>
      <c r="B137" s="350">
        <v>12</v>
      </c>
      <c r="C137" s="350">
        <v>3301</v>
      </c>
      <c r="D137" s="351">
        <v>14437.648675540589</v>
      </c>
      <c r="E137" s="351">
        <f t="shared" si="2"/>
        <v>28875.297351081179</v>
      </c>
    </row>
    <row r="138" spans="1:5" x14ac:dyDescent="0.15">
      <c r="A138" s="355" t="s">
        <v>336</v>
      </c>
      <c r="B138" s="350">
        <v>11</v>
      </c>
      <c r="C138" s="350">
        <v>1231</v>
      </c>
      <c r="D138" s="352">
        <v>18579.591228340018</v>
      </c>
      <c r="E138" s="351">
        <f t="shared" si="2"/>
        <v>37159.182456680035</v>
      </c>
    </row>
    <row r="139" spans="1:5" x14ac:dyDescent="0.15">
      <c r="A139" s="355" t="s">
        <v>336</v>
      </c>
      <c r="B139" s="350">
        <v>12</v>
      </c>
      <c r="C139" s="350">
        <v>3301</v>
      </c>
      <c r="D139" s="351">
        <v>14437.648675540589</v>
      </c>
      <c r="E139" s="351">
        <f t="shared" si="2"/>
        <v>28875.297351081179</v>
      </c>
    </row>
    <row r="140" spans="1:5" x14ac:dyDescent="0.15">
      <c r="A140" s="355" t="s">
        <v>398</v>
      </c>
      <c r="B140" s="350">
        <v>11</v>
      </c>
      <c r="C140" s="350">
        <v>1231</v>
      </c>
      <c r="D140" s="352">
        <v>18579.591228340018</v>
      </c>
      <c r="E140" s="351">
        <f t="shared" si="2"/>
        <v>37159.182456680035</v>
      </c>
    </row>
    <row r="141" spans="1:5" x14ac:dyDescent="0.15">
      <c r="A141" s="355" t="s">
        <v>398</v>
      </c>
      <c r="B141" s="350">
        <v>12</v>
      </c>
      <c r="C141" s="350">
        <v>3301</v>
      </c>
      <c r="D141" s="351">
        <v>14437.648675540589</v>
      </c>
      <c r="E141" s="351">
        <f t="shared" si="2"/>
        <v>28875.297351081179</v>
      </c>
    </row>
    <row r="142" spans="1:5" x14ac:dyDescent="0.15">
      <c r="A142" s="355" t="s">
        <v>399</v>
      </c>
      <c r="B142" s="350">
        <v>11</v>
      </c>
      <c r="C142" s="350">
        <v>1231</v>
      </c>
      <c r="D142" s="352">
        <v>18579.591228340018</v>
      </c>
      <c r="E142" s="351">
        <f t="shared" si="2"/>
        <v>37159.182456680035</v>
      </c>
    </row>
    <row r="143" spans="1:5" x14ac:dyDescent="0.15">
      <c r="A143" s="355" t="s">
        <v>399</v>
      </c>
      <c r="B143" s="350">
        <v>12</v>
      </c>
      <c r="C143" s="350">
        <v>3301</v>
      </c>
      <c r="D143" s="351">
        <v>14437.648675540589</v>
      </c>
      <c r="E143" s="351">
        <f t="shared" si="2"/>
        <v>28875.297351081179</v>
      </c>
    </row>
    <row r="144" spans="1:5" x14ac:dyDescent="0.15">
      <c r="A144" s="355" t="s">
        <v>400</v>
      </c>
      <c r="B144" s="350">
        <v>11</v>
      </c>
      <c r="C144" s="350">
        <v>1231</v>
      </c>
      <c r="D144" s="352">
        <v>18579.591228340018</v>
      </c>
      <c r="E144" s="351">
        <f t="shared" si="2"/>
        <v>37159.182456680035</v>
      </c>
    </row>
    <row r="145" spans="1:5" x14ac:dyDescent="0.15">
      <c r="A145" s="355" t="s">
        <v>400</v>
      </c>
      <c r="B145" s="350">
        <v>12</v>
      </c>
      <c r="C145" s="350">
        <v>3301</v>
      </c>
      <c r="D145" s="351">
        <v>14437.648675540589</v>
      </c>
      <c r="E145" s="351">
        <f t="shared" si="2"/>
        <v>28875.297351081179</v>
      </c>
    </row>
    <row r="146" spans="1:5" x14ac:dyDescent="0.15">
      <c r="A146" s="355" t="s">
        <v>327</v>
      </c>
      <c r="B146" s="350">
        <v>11</v>
      </c>
      <c r="C146" s="350">
        <v>1231</v>
      </c>
      <c r="D146" s="352">
        <v>23733.106306129856</v>
      </c>
      <c r="E146" s="351">
        <f t="shared" si="2"/>
        <v>47466.212612259711</v>
      </c>
    </row>
    <row r="147" spans="1:5" x14ac:dyDescent="0.15">
      <c r="A147" s="355" t="s">
        <v>327</v>
      </c>
      <c r="B147" s="350">
        <v>12</v>
      </c>
      <c r="C147" s="350">
        <v>3301</v>
      </c>
      <c r="D147" s="351">
        <v>18442.292223550365</v>
      </c>
      <c r="E147" s="351">
        <f t="shared" si="2"/>
        <v>36884.584447100729</v>
      </c>
    </row>
    <row r="148" spans="1:5" x14ac:dyDescent="0.15">
      <c r="A148" s="355" t="s">
        <v>231</v>
      </c>
      <c r="B148" s="350">
        <v>11</v>
      </c>
      <c r="C148" s="350">
        <v>1231</v>
      </c>
      <c r="D148" s="352">
        <v>21985.034102018966</v>
      </c>
      <c r="E148" s="351">
        <f t="shared" si="2"/>
        <v>43970.068204037932</v>
      </c>
    </row>
    <row r="149" spans="1:5" x14ac:dyDescent="0.15">
      <c r="A149" s="355" t="s">
        <v>231</v>
      </c>
      <c r="B149" s="350">
        <v>12</v>
      </c>
      <c r="C149" s="350">
        <v>3301</v>
      </c>
      <c r="D149" s="351">
        <v>17083.917217757207</v>
      </c>
      <c r="E149" s="351">
        <f t="shared" si="2"/>
        <v>34167.834435514415</v>
      </c>
    </row>
    <row r="150" spans="1:5" x14ac:dyDescent="0.15">
      <c r="A150" s="355" t="s">
        <v>232</v>
      </c>
      <c r="B150" s="350">
        <v>11</v>
      </c>
      <c r="C150" s="350">
        <v>1231</v>
      </c>
      <c r="D150" s="352">
        <v>21985.034102018966</v>
      </c>
      <c r="E150" s="351">
        <f t="shared" si="2"/>
        <v>43970.068204037932</v>
      </c>
    </row>
    <row r="151" spans="1:5" x14ac:dyDescent="0.15">
      <c r="A151" s="355" t="s">
        <v>232</v>
      </c>
      <c r="B151" s="350">
        <v>12</v>
      </c>
      <c r="C151" s="350">
        <v>3301</v>
      </c>
      <c r="D151" s="351">
        <v>17083.917217757207</v>
      </c>
      <c r="E151" s="351">
        <f t="shared" si="2"/>
        <v>34167.834435514415</v>
      </c>
    </row>
    <row r="152" spans="1:5" x14ac:dyDescent="0.15">
      <c r="A152" s="350">
        <v>676</v>
      </c>
      <c r="B152" s="350">
        <v>11</v>
      </c>
      <c r="C152" s="350">
        <v>1231</v>
      </c>
      <c r="D152" s="351">
        <v>26878.04</v>
      </c>
      <c r="E152" s="351">
        <f t="shared" si="2"/>
        <v>53756.08</v>
      </c>
    </row>
    <row r="153" spans="1:5" x14ac:dyDescent="0.15">
      <c r="A153" s="350">
        <v>360</v>
      </c>
      <c r="B153" s="350">
        <v>258</v>
      </c>
      <c r="C153" s="350">
        <v>3301</v>
      </c>
      <c r="D153" s="351">
        <v>37618.46</v>
      </c>
      <c r="E153" s="351">
        <f t="shared" si="2"/>
        <v>75236.92</v>
      </c>
    </row>
    <row r="154" spans="1:5" x14ac:dyDescent="0.15">
      <c r="A154" s="350">
        <v>677</v>
      </c>
      <c r="B154" s="350">
        <v>11</v>
      </c>
      <c r="C154" s="350">
        <v>1231</v>
      </c>
      <c r="D154" s="351">
        <v>26878.04</v>
      </c>
      <c r="E154" s="351">
        <f t="shared" si="2"/>
        <v>53756.08</v>
      </c>
    </row>
    <row r="155" spans="1:5" x14ac:dyDescent="0.15">
      <c r="A155" s="350">
        <v>360</v>
      </c>
      <c r="B155" s="350">
        <v>258</v>
      </c>
      <c r="C155" s="350">
        <v>3301</v>
      </c>
      <c r="D155" s="351">
        <v>37618.46</v>
      </c>
      <c r="E155" s="351">
        <f t="shared" si="2"/>
        <v>75236.92</v>
      </c>
    </row>
    <row r="156" spans="1:5" x14ac:dyDescent="0.15">
      <c r="A156" s="350">
        <v>678</v>
      </c>
      <c r="B156" s="350">
        <v>11</v>
      </c>
      <c r="C156" s="350">
        <v>1231</v>
      </c>
      <c r="D156" s="351">
        <v>26878.04</v>
      </c>
      <c r="E156" s="351">
        <f t="shared" si="2"/>
        <v>53756.08</v>
      </c>
    </row>
    <row r="157" spans="1:5" x14ac:dyDescent="0.15">
      <c r="A157" s="350">
        <v>360</v>
      </c>
      <c r="B157" s="350">
        <v>258</v>
      </c>
      <c r="C157" s="350">
        <v>3301</v>
      </c>
      <c r="D157" s="351">
        <v>37618.46</v>
      </c>
      <c r="E157" s="351">
        <f t="shared" si="2"/>
        <v>75236.92</v>
      </c>
    </row>
    <row r="158" spans="1:5" x14ac:dyDescent="0.15">
      <c r="A158" s="355" t="s">
        <v>333</v>
      </c>
      <c r="B158" s="350">
        <v>11</v>
      </c>
      <c r="C158" s="350">
        <v>1231</v>
      </c>
      <c r="D158" s="352">
        <v>33027.926586043912</v>
      </c>
      <c r="E158" s="351">
        <f t="shared" si="2"/>
        <v>66055.853172087824</v>
      </c>
    </row>
    <row r="159" spans="1:5" x14ac:dyDescent="0.15">
      <c r="A159" s="355" t="s">
        <v>333</v>
      </c>
      <c r="B159" s="350">
        <v>12</v>
      </c>
      <c r="C159" s="350">
        <v>3301</v>
      </c>
      <c r="D159" s="351">
        <v>25665.021079877235</v>
      </c>
      <c r="E159" s="351">
        <f t="shared" si="2"/>
        <v>51330.04215975447</v>
      </c>
    </row>
    <row r="160" spans="1:5" x14ac:dyDescent="0.15">
      <c r="A160" s="356" t="s">
        <v>394</v>
      </c>
      <c r="B160" s="350">
        <v>11</v>
      </c>
      <c r="C160" s="350">
        <v>1231</v>
      </c>
      <c r="D160" s="352">
        <v>33027.926586043912</v>
      </c>
      <c r="E160" s="351">
        <f t="shared" si="2"/>
        <v>66055.853172087824</v>
      </c>
    </row>
    <row r="161" spans="1:5" x14ac:dyDescent="0.15">
      <c r="A161" s="356" t="s">
        <v>394</v>
      </c>
      <c r="B161" s="350">
        <v>12</v>
      </c>
      <c r="C161" s="350">
        <v>3301</v>
      </c>
      <c r="D161" s="351">
        <v>25665.021079877235</v>
      </c>
      <c r="E161" s="351">
        <f t="shared" si="2"/>
        <v>51330.04215975447</v>
      </c>
    </row>
    <row r="162" spans="1:5" x14ac:dyDescent="0.15">
      <c r="A162" s="355" t="s">
        <v>396</v>
      </c>
      <c r="B162" s="350">
        <v>11</v>
      </c>
      <c r="C162" s="350">
        <v>1231</v>
      </c>
      <c r="D162" s="352">
        <v>33027.926586043912</v>
      </c>
      <c r="E162" s="351">
        <f t="shared" si="2"/>
        <v>66055.853172087824</v>
      </c>
    </row>
    <row r="163" spans="1:5" x14ac:dyDescent="0.15">
      <c r="A163" s="355" t="s">
        <v>396</v>
      </c>
      <c r="B163" s="350">
        <v>12</v>
      </c>
      <c r="C163" s="350">
        <v>3301</v>
      </c>
      <c r="D163" s="351">
        <v>25665.021079877235</v>
      </c>
      <c r="E163" s="351">
        <f t="shared" si="2"/>
        <v>51330.04215975447</v>
      </c>
    </row>
    <row r="164" spans="1:5" x14ac:dyDescent="0.15">
      <c r="A164" s="355" t="s">
        <v>234</v>
      </c>
      <c r="B164" s="350">
        <v>11</v>
      </c>
      <c r="C164" s="350">
        <v>1231</v>
      </c>
      <c r="D164" s="352">
        <v>36695.95071660605</v>
      </c>
      <c r="E164" s="351">
        <f t="shared" si="2"/>
        <v>73391.901433212101</v>
      </c>
    </row>
    <row r="165" spans="1:5" x14ac:dyDescent="0.15">
      <c r="A165" s="355" t="s">
        <v>234</v>
      </c>
      <c r="B165" s="350">
        <v>12</v>
      </c>
      <c r="C165" s="350">
        <v>3301</v>
      </c>
      <c r="D165" s="351">
        <v>28515.333720215818</v>
      </c>
      <c r="E165" s="351">
        <f t="shared" si="2"/>
        <v>57030.667440431636</v>
      </c>
    </row>
    <row r="166" spans="1:5" x14ac:dyDescent="0.15">
      <c r="A166" s="355" t="s">
        <v>235</v>
      </c>
      <c r="B166" s="350">
        <v>11</v>
      </c>
      <c r="C166" s="350">
        <v>1231</v>
      </c>
      <c r="D166" s="352">
        <v>40079.596057047602</v>
      </c>
      <c r="E166" s="351">
        <f t="shared" si="2"/>
        <v>80159.192114095204</v>
      </c>
    </row>
    <row r="167" spans="1:5" x14ac:dyDescent="0.15">
      <c r="A167" s="355" t="s">
        <v>235</v>
      </c>
      <c r="B167" s="350">
        <v>12</v>
      </c>
      <c r="C167" s="350">
        <v>3301</v>
      </c>
      <c r="D167" s="351">
        <v>31144.664046569269</v>
      </c>
      <c r="E167" s="351">
        <f t="shared" si="2"/>
        <v>62289.328093138538</v>
      </c>
    </row>
    <row r="168" spans="1:5" x14ac:dyDescent="0.15">
      <c r="A168" s="350">
        <v>684</v>
      </c>
      <c r="B168" s="350">
        <v>11</v>
      </c>
      <c r="C168" s="350">
        <v>1231</v>
      </c>
      <c r="D168" s="351">
        <v>38678.879999999997</v>
      </c>
      <c r="E168" s="351">
        <f t="shared" si="2"/>
        <v>77357.759999999995</v>
      </c>
    </row>
    <row r="169" spans="1:5" x14ac:dyDescent="0.15">
      <c r="A169" s="350">
        <v>360</v>
      </c>
      <c r="B169" s="350">
        <v>258</v>
      </c>
      <c r="C169" s="350">
        <v>3301</v>
      </c>
      <c r="D169" s="351">
        <v>54134.91</v>
      </c>
      <c r="E169" s="351">
        <f t="shared" si="2"/>
        <v>108269.82</v>
      </c>
    </row>
    <row r="170" spans="1:5" x14ac:dyDescent="0.15">
      <c r="A170" s="350">
        <v>685</v>
      </c>
      <c r="B170" s="350">
        <v>11</v>
      </c>
      <c r="C170" s="350">
        <v>1231</v>
      </c>
      <c r="D170" s="351">
        <v>31043.599999999999</v>
      </c>
      <c r="E170" s="351">
        <f t="shared" si="2"/>
        <v>62087.199999999997</v>
      </c>
    </row>
    <row r="171" spans="1:5" x14ac:dyDescent="0.15">
      <c r="A171" s="350">
        <v>360</v>
      </c>
      <c r="B171" s="350">
        <v>258</v>
      </c>
      <c r="C171" s="350">
        <v>3301</v>
      </c>
      <c r="D171" s="351">
        <v>43448.58</v>
      </c>
      <c r="E171" s="351">
        <f t="shared" si="2"/>
        <v>86897.16</v>
      </c>
    </row>
    <row r="172" spans="1:5" x14ac:dyDescent="0.15">
      <c r="A172" s="350">
        <v>686</v>
      </c>
      <c r="B172" s="350">
        <v>11</v>
      </c>
      <c r="C172" s="350">
        <v>1231</v>
      </c>
      <c r="D172" s="351">
        <v>31043.56</v>
      </c>
      <c r="E172" s="351">
        <f t="shared" si="2"/>
        <v>62087.12</v>
      </c>
    </row>
    <row r="173" spans="1:5" x14ac:dyDescent="0.15">
      <c r="A173" s="350">
        <v>360</v>
      </c>
      <c r="B173" s="350">
        <v>258</v>
      </c>
      <c r="C173" s="350">
        <v>3301</v>
      </c>
      <c r="D173" s="351">
        <v>43448.53</v>
      </c>
      <c r="E173" s="351">
        <f t="shared" si="2"/>
        <v>86897.06</v>
      </c>
    </row>
    <row r="174" spans="1:5" x14ac:dyDescent="0.15">
      <c r="A174" s="350">
        <v>687</v>
      </c>
      <c r="B174" s="350">
        <v>11</v>
      </c>
      <c r="C174" s="350">
        <v>1231</v>
      </c>
      <c r="D174" s="351">
        <v>38137.18</v>
      </c>
      <c r="E174" s="351">
        <f t="shared" si="2"/>
        <v>76274.36</v>
      </c>
    </row>
    <row r="175" spans="1:5" x14ac:dyDescent="0.15">
      <c r="A175" s="350">
        <v>360</v>
      </c>
      <c r="B175" s="350">
        <v>258</v>
      </c>
      <c r="C175" s="350">
        <v>3301</v>
      </c>
      <c r="D175" s="351">
        <v>53376.75</v>
      </c>
      <c r="E175" s="351">
        <f t="shared" si="2"/>
        <v>106753.5</v>
      </c>
    </row>
    <row r="176" spans="1:5" x14ac:dyDescent="0.15">
      <c r="A176" s="350">
        <v>688</v>
      </c>
      <c r="B176" s="350">
        <v>11</v>
      </c>
      <c r="C176" s="350">
        <v>1231</v>
      </c>
      <c r="D176" s="351">
        <v>82089.440000000002</v>
      </c>
      <c r="E176" s="351">
        <f t="shared" si="2"/>
        <v>164178.88</v>
      </c>
    </row>
    <row r="177" spans="1:5" x14ac:dyDescent="0.15">
      <c r="A177" s="350">
        <v>360</v>
      </c>
      <c r="B177" s="350">
        <v>258</v>
      </c>
      <c r="C177" s="350">
        <v>3301</v>
      </c>
      <c r="D177" s="351">
        <v>114892.27</v>
      </c>
      <c r="E177" s="351">
        <f t="shared" si="2"/>
        <v>229784.54</v>
      </c>
    </row>
    <row r="178" spans="1:5" x14ac:dyDescent="0.15">
      <c r="A178" s="350">
        <v>689</v>
      </c>
      <c r="B178" s="350">
        <v>11</v>
      </c>
      <c r="C178" s="350">
        <v>1231</v>
      </c>
      <c r="D178" s="351">
        <v>39236.18</v>
      </c>
      <c r="E178" s="351">
        <f t="shared" si="2"/>
        <v>78472.36</v>
      </c>
    </row>
    <row r="179" spans="1:5" x14ac:dyDescent="0.15">
      <c r="A179" s="350">
        <v>360</v>
      </c>
      <c r="B179" s="350">
        <v>258</v>
      </c>
      <c r="C179" s="350">
        <v>3301</v>
      </c>
      <c r="D179" s="351">
        <v>54914.91</v>
      </c>
      <c r="E179" s="351">
        <f t="shared" si="2"/>
        <v>109829.82</v>
      </c>
    </row>
    <row r="180" spans="1:5" x14ac:dyDescent="0.15">
      <c r="A180" s="350">
        <v>690</v>
      </c>
      <c r="B180" s="350">
        <v>11</v>
      </c>
      <c r="C180" s="350">
        <v>1231</v>
      </c>
      <c r="D180" s="351">
        <v>39236.18</v>
      </c>
      <c r="E180" s="351">
        <f t="shared" si="2"/>
        <v>78472.36</v>
      </c>
    </row>
    <row r="181" spans="1:5" x14ac:dyDescent="0.15">
      <c r="A181" s="350">
        <v>360</v>
      </c>
      <c r="B181" s="350">
        <v>258</v>
      </c>
      <c r="C181" s="350">
        <v>3301</v>
      </c>
      <c r="D181" s="351">
        <v>54914.91</v>
      </c>
      <c r="E181" s="351">
        <f t="shared" si="2"/>
        <v>109829.82</v>
      </c>
    </row>
    <row r="182" spans="1:5" x14ac:dyDescent="0.15">
      <c r="A182" s="350">
        <v>691</v>
      </c>
      <c r="B182" s="350">
        <v>11</v>
      </c>
      <c r="C182" s="350">
        <v>1231</v>
      </c>
      <c r="D182" s="351">
        <v>45827.75</v>
      </c>
      <c r="E182" s="351">
        <f t="shared" si="2"/>
        <v>91655.5</v>
      </c>
    </row>
    <row r="183" spans="1:5" x14ac:dyDescent="0.15">
      <c r="A183" s="350">
        <v>360</v>
      </c>
      <c r="B183" s="350">
        <v>258</v>
      </c>
      <c r="C183" s="350">
        <v>3301</v>
      </c>
      <c r="D183" s="351">
        <v>64140.46</v>
      </c>
      <c r="E183" s="351">
        <f t="shared" si="2"/>
        <v>128280.92</v>
      </c>
    </row>
    <row r="184" spans="1:5" x14ac:dyDescent="0.15">
      <c r="A184" s="350">
        <v>692</v>
      </c>
      <c r="B184" s="350">
        <v>11</v>
      </c>
      <c r="C184" s="350">
        <v>1231</v>
      </c>
      <c r="D184" s="351">
        <v>45827.75</v>
      </c>
      <c r="E184" s="351">
        <f t="shared" si="2"/>
        <v>91655.5</v>
      </c>
    </row>
    <row r="185" spans="1:5" x14ac:dyDescent="0.15">
      <c r="A185" s="350">
        <v>360</v>
      </c>
      <c r="B185" s="350">
        <v>258</v>
      </c>
      <c r="C185" s="350">
        <v>3301</v>
      </c>
      <c r="D185" s="351">
        <v>64140.46</v>
      </c>
      <c r="E185" s="351">
        <f t="shared" si="2"/>
        <v>128280.92</v>
      </c>
    </row>
    <row r="186" spans="1:5" x14ac:dyDescent="0.15">
      <c r="A186" s="350">
        <v>693</v>
      </c>
      <c r="B186" s="350">
        <v>11</v>
      </c>
      <c r="C186" s="350">
        <v>1231</v>
      </c>
      <c r="D186" s="351">
        <v>41050.620000000003</v>
      </c>
      <c r="E186" s="351">
        <f t="shared" si="2"/>
        <v>82101.240000000005</v>
      </c>
    </row>
    <row r="187" spans="1:5" x14ac:dyDescent="0.15">
      <c r="A187" s="350">
        <v>360</v>
      </c>
      <c r="B187" s="350">
        <v>258</v>
      </c>
      <c r="C187" s="350">
        <v>3301</v>
      </c>
      <c r="D187" s="351">
        <v>57454.400000000001</v>
      </c>
      <c r="E187" s="351">
        <f t="shared" si="2"/>
        <v>114908.8</v>
      </c>
    </row>
    <row r="188" spans="1:5" x14ac:dyDescent="0.15">
      <c r="A188" s="350">
        <v>694</v>
      </c>
      <c r="B188" s="350">
        <v>11</v>
      </c>
      <c r="C188" s="350">
        <v>1231</v>
      </c>
      <c r="D188" s="351">
        <v>41050.620000000003</v>
      </c>
      <c r="E188" s="351">
        <f t="shared" si="2"/>
        <v>82101.240000000005</v>
      </c>
    </row>
    <row r="189" spans="1:5" x14ac:dyDescent="0.15">
      <c r="A189" s="350">
        <v>360</v>
      </c>
      <c r="B189" s="350">
        <v>258</v>
      </c>
      <c r="C189" s="350">
        <v>3301</v>
      </c>
      <c r="D189" s="351">
        <v>57454.400000000001</v>
      </c>
      <c r="E189" s="351">
        <f t="shared" si="2"/>
        <v>114908.8</v>
      </c>
    </row>
    <row r="190" spans="1:5" x14ac:dyDescent="0.15">
      <c r="A190" s="350">
        <v>695</v>
      </c>
      <c r="B190" s="350">
        <v>11</v>
      </c>
      <c r="C190" s="350">
        <v>1231</v>
      </c>
      <c r="D190" s="351">
        <v>27869.119999999999</v>
      </c>
      <c r="E190" s="351">
        <f t="shared" si="2"/>
        <v>55738.239999999998</v>
      </c>
    </row>
    <row r="191" spans="1:5" x14ac:dyDescent="0.15">
      <c r="A191" s="350">
        <v>360</v>
      </c>
      <c r="B191" s="350">
        <v>258</v>
      </c>
      <c r="C191" s="350">
        <v>3301</v>
      </c>
      <c r="D191" s="351">
        <v>39005.589999999997</v>
      </c>
      <c r="E191" s="351">
        <f t="shared" si="2"/>
        <v>78011.179999999993</v>
      </c>
    </row>
    <row r="192" spans="1:5" x14ac:dyDescent="0.15">
      <c r="A192" s="350">
        <v>696</v>
      </c>
      <c r="B192" s="350">
        <v>11</v>
      </c>
      <c r="C192" s="350">
        <v>1231</v>
      </c>
      <c r="D192" s="351">
        <v>27869.119999999999</v>
      </c>
      <c r="E192" s="351">
        <f t="shared" si="2"/>
        <v>55738.239999999998</v>
      </c>
    </row>
    <row r="193" spans="1:5" x14ac:dyDescent="0.15">
      <c r="A193" s="350">
        <v>360</v>
      </c>
      <c r="B193" s="350">
        <v>258</v>
      </c>
      <c r="C193" s="350">
        <v>3301</v>
      </c>
      <c r="D193" s="351">
        <v>39005.589999999997</v>
      </c>
      <c r="E193" s="351">
        <f t="shared" si="2"/>
        <v>78011.179999999993</v>
      </c>
    </row>
    <row r="194" spans="1:5" x14ac:dyDescent="0.15">
      <c r="A194" s="350">
        <v>697</v>
      </c>
      <c r="B194" s="350">
        <v>11</v>
      </c>
      <c r="C194" s="350">
        <v>1231</v>
      </c>
      <c r="D194" s="351">
        <v>27869.119999999999</v>
      </c>
      <c r="E194" s="351">
        <f t="shared" si="2"/>
        <v>55738.239999999998</v>
      </c>
    </row>
    <row r="195" spans="1:5" x14ac:dyDescent="0.15">
      <c r="A195" s="350">
        <v>360</v>
      </c>
      <c r="B195" s="350">
        <v>258</v>
      </c>
      <c r="C195" s="350">
        <v>3301</v>
      </c>
      <c r="D195" s="351">
        <v>39005.589999999997</v>
      </c>
      <c r="E195" s="351">
        <f t="shared" ref="E195:E199" si="3">+D195*2</f>
        <v>78011.179999999993</v>
      </c>
    </row>
    <row r="196" spans="1:5" x14ac:dyDescent="0.15">
      <c r="A196" s="350">
        <v>698</v>
      </c>
      <c r="B196" s="350">
        <v>11</v>
      </c>
      <c r="C196" s="350">
        <v>1231</v>
      </c>
      <c r="D196" s="351">
        <v>27869.119999999999</v>
      </c>
      <c r="E196" s="351">
        <f t="shared" si="3"/>
        <v>55738.239999999998</v>
      </c>
    </row>
    <row r="197" spans="1:5" x14ac:dyDescent="0.15">
      <c r="A197" s="350">
        <v>360</v>
      </c>
      <c r="B197" s="350">
        <v>258</v>
      </c>
      <c r="C197" s="350">
        <v>3301</v>
      </c>
      <c r="D197" s="351">
        <v>39005.589999999997</v>
      </c>
      <c r="E197" s="351">
        <f t="shared" si="3"/>
        <v>78011.179999999993</v>
      </c>
    </row>
    <row r="198" spans="1:5" x14ac:dyDescent="0.15">
      <c r="A198" s="350">
        <v>699</v>
      </c>
      <c r="B198" s="350">
        <v>11</v>
      </c>
      <c r="C198" s="350">
        <v>1231</v>
      </c>
      <c r="D198" s="351">
        <v>59670.03</v>
      </c>
      <c r="E198" s="351">
        <f t="shared" si="3"/>
        <v>119340.06</v>
      </c>
    </row>
    <row r="199" spans="1:5" x14ac:dyDescent="0.15">
      <c r="A199" s="350">
        <v>360</v>
      </c>
      <c r="B199" s="350">
        <v>258</v>
      </c>
      <c r="C199" s="350">
        <v>3301</v>
      </c>
      <c r="D199" s="351">
        <v>83514.09</v>
      </c>
      <c r="E199" s="351">
        <f t="shared" si="3"/>
        <v>167028.18</v>
      </c>
    </row>
  </sheetData>
  <autoFilter ref="A1:G199" xr:uid="{00000000-0009-0000-0000-00000D000000}"/>
  <sortState xmlns:xlrd2="http://schemas.microsoft.com/office/spreadsheetml/2017/richdata2" ref="A2:G199">
    <sortCondition ref="A2:A199"/>
    <sortCondition ref="B2:B199"/>
  </sortState>
  <customSheetViews>
    <customSheetView guid="{60788006-5C2B-4CAF-8D5B-3FA82F99F0BB}" showAutoFilter="1">
      <selection activeCell="C1" sqref="C1"/>
      <pageMargins left="0.7" right="0.7" top="0.75" bottom="0.75" header="0.3" footer="0.3"/>
      <pageSetup paperSize="9" orientation="portrait" horizontalDpi="300" verticalDpi="300" r:id="rId1"/>
      <autoFilter ref="A1:G199" xr:uid="{00000000-0009-0000-0000-00000D000000}"/>
    </customSheetView>
    <customSheetView guid="{6C0BD6A7-6718-429D-82D9-D2FE0341EA2C}" showAutoFilter="1">
      <selection activeCell="C1" sqref="C1"/>
      <pageMargins left="0.7" right="0.7" top="0.75" bottom="0.75" header="0.3" footer="0.3"/>
      <pageSetup paperSize="9" orientation="portrait" horizontalDpi="300" verticalDpi="300" r:id="rId2"/>
      <autoFilter ref="A1:G199" xr:uid="{8BC1E54B-4790-4A86-AACC-B0DDBD4DF51E}"/>
    </customSheetView>
    <customSheetView guid="{594C4AB0-8D5F-4373-9663-410F4413FE3A}" showPageBreaks="1" showAutoFilter="1" topLeftCell="A190">
      <selection activeCell="C2" sqref="C2"/>
      <pageMargins left="0.7" right="0.7" top="0.75" bottom="0.75" header="0.3" footer="0.3"/>
      <pageSetup paperSize="9" orientation="portrait" horizontalDpi="300" verticalDpi="300" r:id="rId3"/>
      <autoFilter ref="A1:G199" xr:uid="{E566C1F1-048E-4A9C-AE28-0116EE6D1D6A}"/>
    </customSheetView>
    <customSheetView guid="{DF69299D-7752-4436-A45D-28F739CEE21B}" showAutoFilter="1">
      <selection activeCell="C1" sqref="C1"/>
      <pageMargins left="0.7" right="0.7" top="0.75" bottom="0.75" header="0.3" footer="0.3"/>
      <pageSetup paperSize="9" orientation="portrait" horizontalDpi="300" verticalDpi="300" r:id="rId4"/>
      <autoFilter ref="A1:G199" xr:uid="{19D19C60-1EFA-41CC-B8B5-85C9737E816E}"/>
    </customSheetView>
  </customSheetViews>
  <pageMargins left="0.7" right="0.7" top="0.75" bottom="0.75" header="0.3" footer="0.3"/>
  <pageSetup paperSize="9" orientation="portrait" horizontalDpi="300" verticalDpi="300" r:id="rId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"/>
  <sheetViews>
    <sheetView workbookViewId="0"/>
  </sheetViews>
  <sheetFormatPr defaultRowHeight="13.2" x14ac:dyDescent="0.25"/>
  <sheetData/>
  <customSheetViews>
    <customSheetView guid="{60788006-5C2B-4CAF-8D5B-3FA82F99F0BB}">
      <pageMargins left="0.7" right="0.7" top="0.75" bottom="0.75" header="0.3" footer="0.3"/>
      <pageSetup paperSize="9" orientation="portrait" r:id="rId1"/>
    </customSheetView>
    <customSheetView guid="{6C0BD6A7-6718-429D-82D9-D2FE0341EA2C}">
      <pageMargins left="0.7" right="0.7" top="0.75" bottom="0.75" header="0.3" footer="0.3"/>
      <pageSetup paperSize="9" orientation="portrait" r:id="rId2"/>
    </customSheetView>
    <customSheetView guid="{594C4AB0-8D5F-4373-9663-410F4413FE3A}" showPageBreaks="1">
      <pageMargins left="0.7" right="0.7" top="0.75" bottom="0.75" header="0.3" footer="0.3"/>
      <pageSetup paperSize="9" orientation="portrait" r:id="rId3"/>
    </customSheetView>
    <customSheetView guid="{DF69299D-7752-4436-A45D-28F739CEE21B}">
      <pageMargins left="0.7" right="0.7" top="0.75" bottom="0.75" header="0.3" footer="0.3"/>
      <pageSetup paperSize="9" orientation="portrait" r:id="rId4"/>
    </customSheetView>
  </customSheetView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indexed="41"/>
  </sheetPr>
  <dimension ref="A1:Q122"/>
  <sheetViews>
    <sheetView view="pageBreakPreview" zoomScaleSheetLayoutView="100" workbookViewId="0">
      <pane xSplit="3" ySplit="3" topLeftCell="D9" activePane="bottomRight" state="frozen"/>
      <selection pane="topRight" activeCell="D1" sqref="D1"/>
      <selection pane="bottomLeft" activeCell="A4" sqref="A4"/>
      <selection pane="bottomRight" activeCell="F11" sqref="F11"/>
    </sheetView>
  </sheetViews>
  <sheetFormatPr defaultColWidth="9.21875" defaultRowHeight="10.199999999999999" x14ac:dyDescent="0.2"/>
  <cols>
    <col min="1" max="1" width="20.77734375" style="2" customWidth="1"/>
    <col min="2" max="2" width="9.21875" style="2" bestFit="1" customWidth="1"/>
    <col min="3" max="3" width="3.77734375" style="4" bestFit="1" customWidth="1"/>
    <col min="4" max="4" width="7.77734375" style="13" bestFit="1" customWidth="1"/>
    <col min="5" max="5" width="11.21875" style="2" bestFit="1" customWidth="1"/>
    <col min="6" max="6" width="15.77734375" style="2" customWidth="1"/>
    <col min="7" max="7" width="10.21875" style="2" bestFit="1" customWidth="1"/>
    <col min="8" max="8" width="10.44140625" style="2" bestFit="1" customWidth="1"/>
    <col min="9" max="9" width="11.5546875" style="2" customWidth="1"/>
    <col min="10" max="10" width="15.77734375" style="2" customWidth="1"/>
    <col min="11" max="11" width="10.21875" style="2" bestFit="1" customWidth="1"/>
    <col min="12" max="12" width="10.44140625" style="2" bestFit="1" customWidth="1"/>
    <col min="13" max="13" width="11.21875" style="2" bestFit="1" customWidth="1"/>
    <col min="14" max="14" width="10.21875" style="2" bestFit="1" customWidth="1"/>
    <col min="15" max="15" width="11.21875" style="2" bestFit="1" customWidth="1"/>
    <col min="16" max="16" width="8.21875" style="11" hidden="1" customWidth="1"/>
    <col min="17" max="17" width="7" style="21" bestFit="1" customWidth="1"/>
    <col min="18" max="16384" width="9.21875" style="2"/>
  </cols>
  <sheetData>
    <row r="1" spans="1:17" ht="15.6" x14ac:dyDescent="0.3">
      <c r="A1" s="360" t="s">
        <v>1568</v>
      </c>
      <c r="B1" s="359"/>
      <c r="C1" s="366"/>
      <c r="D1" s="365" t="s">
        <v>547</v>
      </c>
    </row>
    <row r="3" spans="1:17" s="7" customFormat="1" ht="33" customHeight="1" x14ac:dyDescent="0.2">
      <c r="A3" s="285" t="s">
        <v>0</v>
      </c>
      <c r="B3" s="285" t="s">
        <v>1</v>
      </c>
      <c r="C3" s="286" t="s">
        <v>2</v>
      </c>
      <c r="D3" s="287" t="s">
        <v>3</v>
      </c>
      <c r="E3" s="288" t="s">
        <v>130</v>
      </c>
      <c r="F3" s="288" t="s">
        <v>1450</v>
      </c>
      <c r="G3" s="288" t="s">
        <v>131</v>
      </c>
      <c r="H3" s="288" t="s">
        <v>132</v>
      </c>
      <c r="I3" s="288" t="s">
        <v>137</v>
      </c>
      <c r="J3" s="288" t="s">
        <v>133</v>
      </c>
      <c r="K3" s="288" t="s">
        <v>134</v>
      </c>
      <c r="L3" s="289" t="str">
        <f>+mayor!L3</f>
        <v>INTEREST</v>
      </c>
      <c r="M3" s="290" t="s">
        <v>12</v>
      </c>
      <c r="N3" s="288" t="s">
        <v>136</v>
      </c>
      <c r="O3" s="288" t="s">
        <v>135</v>
      </c>
      <c r="P3" s="291" t="s">
        <v>63</v>
      </c>
      <c r="Q3" s="292" t="s">
        <v>11</v>
      </c>
    </row>
    <row r="4" spans="1:17" s="7" customFormat="1" ht="17.25" customHeight="1" x14ac:dyDescent="0.2">
      <c r="C4" s="29"/>
      <c r="D4" s="30"/>
      <c r="E4" s="71"/>
      <c r="F4" s="71"/>
      <c r="G4" s="71"/>
      <c r="H4" s="71"/>
      <c r="I4" s="71"/>
      <c r="J4" s="71"/>
      <c r="K4" s="71"/>
      <c r="L4" s="71"/>
      <c r="N4" s="71"/>
      <c r="O4" s="71"/>
      <c r="P4" s="17"/>
      <c r="Q4" s="34"/>
    </row>
    <row r="6" spans="1:17" s="7" customFormat="1" ht="10.8" thickBot="1" x14ac:dyDescent="0.25">
      <c r="C6" s="29"/>
      <c r="D6" s="30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27"/>
    </row>
    <row r="7" spans="1:17" ht="10.8" thickBot="1" x14ac:dyDescent="0.25">
      <c r="A7" s="283" t="s">
        <v>10</v>
      </c>
      <c r="B7" s="284" t="s">
        <v>433</v>
      </c>
      <c r="D7" s="556" t="s">
        <v>623</v>
      </c>
      <c r="E7" s="557"/>
      <c r="F7" s="558"/>
    </row>
    <row r="8" spans="1:17" x14ac:dyDescent="0.2">
      <c r="Q8" s="16"/>
    </row>
    <row r="9" spans="1:17" x14ac:dyDescent="0.2">
      <c r="A9" s="482" t="str">
        <f>+'1-10'!C25</f>
        <v>ISUZU KB200i 2x4  [034]</v>
      </c>
      <c r="B9" s="508" t="s">
        <v>1566</v>
      </c>
      <c r="C9" s="483">
        <v>624</v>
      </c>
      <c r="D9" s="6">
        <v>10000</v>
      </c>
      <c r="E9" s="514">
        <f>+D9/P9*(CALC!$A$4)*1.1</f>
        <v>38755.622188905552</v>
      </c>
      <c r="F9" s="28">
        <f>23400*(1+CALC!$B$15)</f>
        <v>25740.000000000004</v>
      </c>
      <c r="G9" s="28">
        <f>CALC!$A$23*(I9/CEM!I$148)</f>
        <v>1647.5542567745003</v>
      </c>
      <c r="H9" s="28">
        <f>35000*(1+CALC!B14)</f>
        <v>37800</v>
      </c>
      <c r="I9" s="28">
        <f>11166.61</f>
        <v>11166.61</v>
      </c>
      <c r="J9" s="499"/>
      <c r="K9" s="522">
        <f>678*(1+CALC!B$13)</f>
        <v>759.36000000000013</v>
      </c>
      <c r="L9" s="28">
        <v>30000</v>
      </c>
      <c r="M9" s="28">
        <f>SUM(E9:L9)</f>
        <v>145869.14644568006</v>
      </c>
      <c r="N9" s="24">
        <f>M9/CALC!$A$8*CALC!$A$6</f>
        <v>2848.9667921599398</v>
      </c>
      <c r="O9" s="28">
        <f>+M9+N9</f>
        <v>148718.11323784001</v>
      </c>
      <c r="P9" s="37">
        <v>6.67</v>
      </c>
      <c r="Q9" s="38"/>
    </row>
    <row r="10" spans="1:17" x14ac:dyDescent="0.2">
      <c r="A10" s="482" t="str">
        <f>+'1-10'!C26</f>
        <v>ISUZU KB200i 2x4 [173]</v>
      </c>
      <c r="B10" s="482" t="str">
        <f>+'1-10'!R12</f>
        <v>CMB 608 L</v>
      </c>
      <c r="C10" s="483">
        <v>611</v>
      </c>
      <c r="D10" s="6">
        <v>10000</v>
      </c>
      <c r="E10" s="514">
        <f>+D10/P9*(CALC!$A$4)*1.1</f>
        <v>38755.622188905552</v>
      </c>
      <c r="F10" s="28">
        <f>23400*(1+CALC!$B$15)</f>
        <v>25740.000000000004</v>
      </c>
      <c r="G10" s="28">
        <f>CALC!$A$23*(I10/CEM!I$148)</f>
        <v>1647.5542567745003</v>
      </c>
      <c r="H10" s="28">
        <f>35000*(1+CALC!B14)</f>
        <v>37800</v>
      </c>
      <c r="I10" s="28">
        <f>11166.61</f>
        <v>11166.61</v>
      </c>
      <c r="J10" s="499"/>
      <c r="K10" s="522">
        <f>678*(1+CALC!B$13)</f>
        <v>759.36000000000013</v>
      </c>
      <c r="L10" s="28">
        <v>30000</v>
      </c>
      <c r="M10" s="28">
        <f>SUM(E10:L10)</f>
        <v>145869.14644568006</v>
      </c>
      <c r="N10" s="24">
        <f>M10/CALC!$A$8*CALC!$A$6</f>
        <v>2848.9667921599398</v>
      </c>
      <c r="O10" s="28">
        <f>+M10+N10</f>
        <v>148718.11323784001</v>
      </c>
      <c r="P10" s="23"/>
      <c r="Q10" s="16"/>
    </row>
    <row r="11" spans="1:17" x14ac:dyDescent="0.2">
      <c r="A11" s="8"/>
      <c r="B11" s="8"/>
      <c r="C11" s="14"/>
      <c r="D11" s="6"/>
      <c r="E11" s="9"/>
      <c r="F11" s="9"/>
      <c r="G11" s="9"/>
      <c r="H11" s="9"/>
      <c r="I11" s="9">
        <v>0</v>
      </c>
      <c r="J11" s="9"/>
      <c r="K11" s="9"/>
      <c r="L11" s="9"/>
      <c r="M11" s="9"/>
      <c r="N11" s="9"/>
      <c r="O11" s="9"/>
      <c r="P11" s="23"/>
      <c r="Q11" s="16"/>
    </row>
    <row r="12" spans="1:17" s="7" customFormat="1" x14ac:dyDescent="0.2">
      <c r="B12" s="3" t="s">
        <v>14</v>
      </c>
      <c r="C12" s="18"/>
      <c r="D12" s="12">
        <f t="shared" ref="D12:M12" si="0">SUM(D9:D11)</f>
        <v>20000</v>
      </c>
      <c r="E12" s="10">
        <f t="shared" si="0"/>
        <v>77511.244377811105</v>
      </c>
      <c r="F12" s="10">
        <f t="shared" si="0"/>
        <v>51480.000000000007</v>
      </c>
      <c r="G12" s="10">
        <f t="shared" si="0"/>
        <v>3295.1085135490007</v>
      </c>
      <c r="H12" s="10">
        <f t="shared" si="0"/>
        <v>75600</v>
      </c>
      <c r="I12" s="10">
        <f>+I9</f>
        <v>11166.61</v>
      </c>
      <c r="J12" s="10">
        <f t="shared" si="0"/>
        <v>0</v>
      </c>
      <c r="K12" s="10">
        <f t="shared" si="0"/>
        <v>1518.7200000000003</v>
      </c>
      <c r="L12" s="10"/>
      <c r="M12" s="10">
        <f t="shared" si="0"/>
        <v>291738.29289136012</v>
      </c>
      <c r="N12" s="10">
        <f>M12/CALC!$A$8*CALC!$A$6</f>
        <v>5697.9335843198796</v>
      </c>
      <c r="O12" s="10">
        <f>+M12+N12</f>
        <v>297436.22647568001</v>
      </c>
      <c r="P12" s="25"/>
      <c r="Q12" s="110">
        <f>(+O12/D12)*(1+CALC!$A$3)</f>
        <v>14.871811323784002</v>
      </c>
    </row>
    <row r="13" spans="1:17" x14ac:dyDescent="0.2">
      <c r="Q13" s="16"/>
    </row>
    <row r="14" spans="1:17" ht="10.8" thickBot="1" x14ac:dyDescent="0.25">
      <c r="Q14" s="16"/>
    </row>
    <row r="15" spans="1:17" ht="10.8" thickBot="1" x14ac:dyDescent="0.25">
      <c r="B15" s="83" t="s">
        <v>14</v>
      </c>
      <c r="C15" s="84"/>
      <c r="D15" s="85">
        <f>+D16</f>
        <v>20000</v>
      </c>
      <c r="E15" s="310">
        <f>+E16</f>
        <v>77511.244377811105</v>
      </c>
      <c r="F15" s="310">
        <f>+F16</f>
        <v>51480.000000000007</v>
      </c>
      <c r="G15" s="310">
        <f>+G16</f>
        <v>3295.1085135490007</v>
      </c>
      <c r="H15" s="310">
        <f t="shared" ref="H15:O15" si="1">+H16</f>
        <v>75600</v>
      </c>
      <c r="I15" s="310">
        <f t="shared" si="1"/>
        <v>11166.61</v>
      </c>
      <c r="J15" s="310">
        <f t="shared" si="1"/>
        <v>0</v>
      </c>
      <c r="K15" s="310">
        <f t="shared" si="1"/>
        <v>1518.7200000000003</v>
      </c>
      <c r="L15" s="86">
        <f t="shared" si="1"/>
        <v>0</v>
      </c>
      <c r="M15" s="86">
        <f t="shared" si="1"/>
        <v>291738.29289136012</v>
      </c>
      <c r="N15" s="86">
        <f t="shared" si="1"/>
        <v>5697.9335843198796</v>
      </c>
      <c r="O15" s="86">
        <f t="shared" si="1"/>
        <v>297436.22647568001</v>
      </c>
    </row>
    <row r="16" spans="1:17" s="7" customFormat="1" ht="10.8" thickBot="1" x14ac:dyDescent="0.25">
      <c r="A16" s="32" t="s">
        <v>149</v>
      </c>
      <c r="B16" s="57" t="s">
        <v>14</v>
      </c>
      <c r="C16" s="58"/>
      <c r="D16" s="81">
        <f t="shared" ref="D16:J16" si="2">+D12</f>
        <v>20000</v>
      </c>
      <c r="E16" s="311">
        <f t="shared" si="2"/>
        <v>77511.244377811105</v>
      </c>
      <c r="F16" s="311">
        <f t="shared" si="2"/>
        <v>51480.000000000007</v>
      </c>
      <c r="G16" s="311">
        <f t="shared" si="2"/>
        <v>3295.1085135490007</v>
      </c>
      <c r="H16" s="311">
        <f t="shared" si="2"/>
        <v>75600</v>
      </c>
      <c r="I16" s="311">
        <f t="shared" si="2"/>
        <v>11166.61</v>
      </c>
      <c r="J16" s="311">
        <f t="shared" si="2"/>
        <v>0</v>
      </c>
      <c r="K16" s="311">
        <f t="shared" ref="K16:O16" si="3">+K12</f>
        <v>1518.7200000000003</v>
      </c>
      <c r="L16" s="82">
        <f t="shared" si="3"/>
        <v>0</v>
      </c>
      <c r="M16" s="82">
        <f t="shared" si="3"/>
        <v>291738.29289136012</v>
      </c>
      <c r="N16" s="82">
        <f t="shared" si="3"/>
        <v>5697.9335843198796</v>
      </c>
      <c r="O16" s="82">
        <f t="shared" si="3"/>
        <v>297436.22647568001</v>
      </c>
      <c r="P16" s="33"/>
      <c r="Q16" s="33"/>
    </row>
    <row r="18" spans="4:15" x14ac:dyDescent="0.2">
      <c r="D18" s="13">
        <f>+D12</f>
        <v>20000</v>
      </c>
      <c r="E18" s="13">
        <f t="shared" ref="E18:O18" si="4">+E12</f>
        <v>77511.244377811105</v>
      </c>
      <c r="F18" s="13">
        <f t="shared" si="4"/>
        <v>51480.000000000007</v>
      </c>
      <c r="G18" s="13">
        <f t="shared" si="4"/>
        <v>3295.1085135490007</v>
      </c>
      <c r="H18" s="13">
        <f t="shared" si="4"/>
        <v>75600</v>
      </c>
      <c r="I18" s="13">
        <f t="shared" si="4"/>
        <v>11166.61</v>
      </c>
      <c r="J18" s="13">
        <f t="shared" si="4"/>
        <v>0</v>
      </c>
      <c r="K18" s="13">
        <f t="shared" si="4"/>
        <v>1518.7200000000003</v>
      </c>
      <c r="L18" s="13">
        <f t="shared" si="4"/>
        <v>0</v>
      </c>
      <c r="M18" s="13">
        <f t="shared" si="4"/>
        <v>291738.29289136012</v>
      </c>
      <c r="N18" s="13">
        <f t="shared" si="4"/>
        <v>5697.9335843198796</v>
      </c>
      <c r="O18" s="13">
        <f t="shared" si="4"/>
        <v>297436.22647568001</v>
      </c>
    </row>
    <row r="23" spans="4:15" x14ac:dyDescent="0.2">
      <c r="F23" s="44"/>
      <c r="G23" s="44"/>
    </row>
    <row r="26" spans="4:15" x14ac:dyDescent="0.2">
      <c r="F26" s="11"/>
      <c r="G26" s="11"/>
    </row>
    <row r="122" spans="6:6" x14ac:dyDescent="0.2">
      <c r="F122" s="2">
        <f>SUM(F113:F121)</f>
        <v>0</v>
      </c>
    </row>
  </sheetData>
  <customSheetViews>
    <customSheetView guid="{60788006-5C2B-4CAF-8D5B-3FA82F99F0BB}" showPageBreaks="1" printArea="1" hiddenColumns="1" view="pageBreakPreview">
      <pane xSplit="3" ySplit="3" topLeftCell="D9" activePane="bottomRight" state="frozen"/>
      <selection pane="bottomRight" activeCell="F11" sqref="F11"/>
      <pageMargins left="0" right="0" top="0" bottom="0" header="0.31496062992125984" footer="0.31496062992125984"/>
      <pageSetup paperSize="8" scale="85" orientation="landscape" r:id="rId1"/>
      <headerFooter alignWithMargins="0"/>
    </customSheetView>
    <customSheetView guid="{6C0BD6A7-6718-429D-82D9-D2FE0341EA2C}" showPageBreaks="1" printArea="1" hiddenColumns="1" view="pageBreakPreview">
      <pane xSplit="3" ySplit="3" topLeftCell="D4" activePane="bottomRight" state="frozen"/>
      <selection pane="bottomRight" activeCell="H10" sqref="H10"/>
      <pageMargins left="0" right="0" top="0" bottom="0" header="0.31496062992125984" footer="0.31496062992125984"/>
      <pageSetup paperSize="8" scale="85" orientation="landscape" r:id="rId2"/>
      <headerFooter alignWithMargins="0"/>
    </customSheetView>
    <customSheetView guid="{594C4AB0-8D5F-4373-9663-410F4413FE3A}" showPageBreaks="1" printArea="1" hiddenColumns="1" view="pageBreakPreview">
      <pane xSplit="3" ySplit="3" topLeftCell="D10" activePane="bottomRight" state="frozen"/>
      <selection pane="bottomRight" activeCell="F10" sqref="F10"/>
      <pageMargins left="0" right="0" top="0" bottom="0" header="0.31496062992125984" footer="0.31496062992125984"/>
      <pageSetup paperSize="8" scale="85" orientation="landscape" r:id="rId3"/>
      <headerFooter alignWithMargins="0"/>
    </customSheetView>
    <customSheetView guid="{DF69299D-7752-4436-A45D-28F739CEE21B}" showPageBreaks="1" printArea="1" hiddenColumns="1" view="pageBreakPreview">
      <pane xSplit="3" ySplit="3" topLeftCell="D9" activePane="bottomRight" state="frozen"/>
      <selection pane="bottomRight" activeCell="F11" sqref="F11"/>
      <pageMargins left="0" right="0" top="0" bottom="0" header="0.31496062992125984" footer="0.31496062992125984"/>
      <pageSetup paperSize="8" scale="85" orientation="landscape" r:id="rId4"/>
      <headerFooter alignWithMargins="0"/>
    </customSheetView>
  </customSheetViews>
  <mergeCells count="1">
    <mergeCell ref="D7:F7"/>
  </mergeCells>
  <phoneticPr fontId="0" type="noConversion"/>
  <pageMargins left="0" right="0" top="0" bottom="0" header="0.31496062992125984" footer="0.31496062992125984"/>
  <pageSetup paperSize="8" scale="85" orientation="landscape" r:id="rId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indexed="11"/>
  </sheetPr>
  <dimension ref="A1:R127"/>
  <sheetViews>
    <sheetView view="pageBreakPreview" zoomScaleSheetLayoutView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F9" sqref="F9:L9"/>
    </sheetView>
  </sheetViews>
  <sheetFormatPr defaultColWidth="9.21875" defaultRowHeight="10.199999999999999" x14ac:dyDescent="0.2"/>
  <cols>
    <col min="1" max="1" width="16.21875" style="2" customWidth="1"/>
    <col min="2" max="2" width="11.21875" style="2" bestFit="1" customWidth="1"/>
    <col min="3" max="3" width="4.44140625" style="4" bestFit="1" customWidth="1"/>
    <col min="4" max="4" width="7.77734375" style="13" bestFit="1" customWidth="1"/>
    <col min="5" max="5" width="11.21875" style="2" bestFit="1" customWidth="1"/>
    <col min="6" max="6" width="15.77734375" style="2" customWidth="1"/>
    <col min="7" max="9" width="11.21875" style="2" bestFit="1" customWidth="1"/>
    <col min="10" max="10" width="15.77734375" style="2" hidden="1" customWidth="1"/>
    <col min="11" max="11" width="11.21875" style="2" customWidth="1"/>
    <col min="12" max="12" width="10.44140625" style="2" bestFit="1" customWidth="1"/>
    <col min="13" max="14" width="11.21875" style="2" bestFit="1" customWidth="1"/>
    <col min="15" max="15" width="11.21875" style="2" customWidth="1"/>
    <col min="16" max="16" width="8.21875" style="11" hidden="1" customWidth="1"/>
    <col min="17" max="17" width="7.77734375" style="21" customWidth="1"/>
    <col min="18" max="19" width="10" style="2" customWidth="1"/>
    <col min="20" max="16384" width="9.21875" style="2"/>
  </cols>
  <sheetData>
    <row r="1" spans="1:17" ht="15.6" x14ac:dyDescent="0.3">
      <c r="A1" s="360" t="s">
        <v>1568</v>
      </c>
      <c r="B1" s="359"/>
      <c r="C1" s="366"/>
      <c r="D1" s="365" t="s">
        <v>72</v>
      </c>
    </row>
    <row r="3" spans="1:17" ht="33" customHeight="1" x14ac:dyDescent="0.2">
      <c r="A3" s="293" t="s">
        <v>1</v>
      </c>
      <c r="B3" s="293" t="s">
        <v>0</v>
      </c>
      <c r="C3" s="294" t="s">
        <v>2</v>
      </c>
      <c r="D3" s="295" t="s">
        <v>3</v>
      </c>
      <c r="E3" s="296" t="s">
        <v>140</v>
      </c>
      <c r="F3" s="296" t="s">
        <v>1450</v>
      </c>
      <c r="G3" s="296" t="s">
        <v>131</v>
      </c>
      <c r="H3" s="296" t="s">
        <v>132</v>
      </c>
      <c r="I3" s="296" t="s">
        <v>137</v>
      </c>
      <c r="J3" s="296" t="s">
        <v>133</v>
      </c>
      <c r="K3" s="296" t="s">
        <v>134</v>
      </c>
      <c r="L3" s="297" t="str">
        <f>+income!L3</f>
        <v>INTEREST</v>
      </c>
      <c r="M3" s="298" t="s">
        <v>12</v>
      </c>
      <c r="N3" s="296" t="s">
        <v>141</v>
      </c>
      <c r="O3" s="296" t="s">
        <v>135</v>
      </c>
      <c r="P3" s="299" t="s">
        <v>63</v>
      </c>
      <c r="Q3" s="300" t="s">
        <v>11</v>
      </c>
    </row>
    <row r="4" spans="1:17" s="7" customFormat="1" ht="17.25" customHeight="1" x14ac:dyDescent="0.2">
      <c r="C4" s="29"/>
      <c r="D4" s="30"/>
      <c r="E4" s="71"/>
      <c r="F4" s="71"/>
      <c r="G4" s="71"/>
      <c r="H4" s="71"/>
      <c r="I4" s="71"/>
      <c r="J4" s="71"/>
      <c r="K4" s="71"/>
      <c r="L4" s="71"/>
      <c r="N4" s="71"/>
      <c r="O4" s="71"/>
      <c r="P4" s="17"/>
      <c r="Q4" s="34"/>
    </row>
    <row r="5" spans="1:17" ht="10.8" thickBot="1" x14ac:dyDescent="0.25"/>
    <row r="6" spans="1:17" ht="10.8" thickBot="1" x14ac:dyDescent="0.25">
      <c r="A6" s="283" t="s">
        <v>10</v>
      </c>
      <c r="B6" s="284" t="s">
        <v>427</v>
      </c>
      <c r="D6" s="556" t="s">
        <v>623</v>
      </c>
      <c r="E6" s="557"/>
      <c r="F6" s="558"/>
      <c r="Q6" s="16"/>
    </row>
    <row r="7" spans="1:17" x14ac:dyDescent="0.2">
      <c r="Q7" s="16"/>
    </row>
    <row r="8" spans="1:17" x14ac:dyDescent="0.2">
      <c r="A8" s="485" t="str">
        <f>+'1-10'!C15</f>
        <v>ISUZU KB200i 2x4 [037]</v>
      </c>
      <c r="B8" s="508" t="str">
        <f>+'1-10'!R15</f>
        <v>CMB 428 L</v>
      </c>
      <c r="C8" s="483">
        <v>614</v>
      </c>
      <c r="D8" s="6">
        <v>6300</v>
      </c>
      <c r="E8" s="514">
        <f>+D8/P8*(CALC!$A$4)*1.25</f>
        <v>29375</v>
      </c>
      <c r="F8" s="28">
        <v>3000</v>
      </c>
      <c r="G8" s="28">
        <f>CALC!$A$23*(I8/CEM!I$148)</f>
        <v>2271.2521186022946</v>
      </c>
      <c r="H8" s="28">
        <f>35000*(1+CALC!B14)</f>
        <v>37800</v>
      </c>
      <c r="I8" s="28">
        <f>15393.84</f>
        <v>15393.84</v>
      </c>
      <c r="J8" s="28"/>
      <c r="K8" s="522">
        <f>678*(1+CALC!B$13)</f>
        <v>759.36000000000013</v>
      </c>
      <c r="L8" s="28"/>
      <c r="M8" s="28">
        <f>SUM(E8:L8)</f>
        <v>88599.45211860229</v>
      </c>
      <c r="N8" s="28">
        <f>M8/CALC!$A$8*CALC!$A$6</f>
        <v>1730.4337691689968</v>
      </c>
      <c r="O8" s="28">
        <f>+M8+N8</f>
        <v>90329.885887771292</v>
      </c>
      <c r="P8" s="37">
        <v>6.3</v>
      </c>
      <c r="Q8" s="38"/>
    </row>
    <row r="9" spans="1:17" x14ac:dyDescent="0.2">
      <c r="A9" s="513" t="str">
        <f>+'1-10'!C12</f>
        <v>ISUZU KB200i 2x4 [036]</v>
      </c>
      <c r="B9" s="508" t="str">
        <f>+'1-10'!R12</f>
        <v>CMB 608 L</v>
      </c>
      <c r="C9" s="509">
        <v>611</v>
      </c>
      <c r="D9" s="6">
        <v>0</v>
      </c>
      <c r="E9" s="517">
        <f>+D9/P9*(CALC!$A$4)</f>
        <v>0</v>
      </c>
      <c r="F9" s="28"/>
      <c r="G9" s="28"/>
      <c r="H9" s="28"/>
      <c r="I9" s="481"/>
      <c r="J9" s="28"/>
      <c r="K9" s="522"/>
      <c r="L9" s="28"/>
      <c r="M9" s="28">
        <f>SUM(E9:L9)</f>
        <v>0</v>
      </c>
      <c r="N9" s="24">
        <f>M9/CALC!$A$8*CALC!$A$6</f>
        <v>0</v>
      </c>
      <c r="O9" s="28">
        <f>+M9+N9</f>
        <v>0</v>
      </c>
      <c r="P9" s="37">
        <v>6.67</v>
      </c>
      <c r="Q9" s="38"/>
    </row>
    <row r="10" spans="1:17" x14ac:dyDescent="0.2">
      <c r="A10" s="485" t="str">
        <f>+'1-10'!C27</f>
        <v>ISUZU KB200i 2x4 [037]</v>
      </c>
      <c r="B10" s="508" t="str">
        <f>+'1-10'!R27</f>
        <v>CMB 620 L</v>
      </c>
      <c r="C10" s="483">
        <v>626</v>
      </c>
      <c r="D10" s="6">
        <v>5000</v>
      </c>
      <c r="E10" s="514">
        <f>+D10/P10*(CALC!$A$4)</f>
        <v>17616.191904047977</v>
      </c>
      <c r="F10" s="28">
        <v>3000</v>
      </c>
      <c r="G10" s="28">
        <f>CALC!$A$23*(I10/CEM!I$148)</f>
        <v>2273.6290350591817</v>
      </c>
      <c r="H10" s="28">
        <f>35000*(1+CALC!B14)</f>
        <v>37800</v>
      </c>
      <c r="I10" s="28">
        <f>15409.95</f>
        <v>15409.95</v>
      </c>
      <c r="J10" s="28"/>
      <c r="K10" s="522">
        <f>678*(1+CALC!B$13)</f>
        <v>759.36000000000013</v>
      </c>
      <c r="L10" s="499"/>
      <c r="M10" s="28">
        <f t="shared" ref="M10" si="0">SUM(E10:L10)</f>
        <v>76859.130939107155</v>
      </c>
      <c r="N10" s="28">
        <f>M10/CALC!$A$8*CALC!$A$6</f>
        <v>1501.1338384798898</v>
      </c>
      <c r="O10" s="28">
        <f t="shared" ref="O10" si="1">+M10+N10</f>
        <v>78360.264777587043</v>
      </c>
      <c r="P10" s="37">
        <v>6.67</v>
      </c>
      <c r="Q10" s="38"/>
    </row>
    <row r="11" spans="1:17" s="7" customFormat="1" x14ac:dyDescent="0.2">
      <c r="B11" s="3" t="s">
        <v>14</v>
      </c>
      <c r="C11" s="18"/>
      <c r="D11" s="12">
        <f t="shared" ref="D11:M11" si="2">SUM(D8:D10)</f>
        <v>11300</v>
      </c>
      <c r="E11" s="10">
        <f t="shared" si="2"/>
        <v>46991.191904047977</v>
      </c>
      <c r="F11" s="10">
        <f t="shared" si="2"/>
        <v>6000</v>
      </c>
      <c r="G11" s="10">
        <f t="shared" si="2"/>
        <v>4544.8811536614758</v>
      </c>
      <c r="H11" s="10">
        <f t="shared" si="2"/>
        <v>75600</v>
      </c>
      <c r="I11" s="10">
        <f t="shared" si="2"/>
        <v>30803.79</v>
      </c>
      <c r="J11" s="24">
        <f t="shared" si="2"/>
        <v>0</v>
      </c>
      <c r="K11" s="10">
        <f>SUM(K8:K10)</f>
        <v>1518.7200000000003</v>
      </c>
      <c r="L11" s="10">
        <f>SUM(L8:L10)</f>
        <v>0</v>
      </c>
      <c r="M11" s="10">
        <f t="shared" si="2"/>
        <v>165458.58305770945</v>
      </c>
      <c r="N11" s="10">
        <f>M11/CALC!$A$8*CALC!$A$6</f>
        <v>3231.5676076488867</v>
      </c>
      <c r="O11" s="10">
        <f>+M11+N11</f>
        <v>168690.15066535832</v>
      </c>
      <c r="P11" s="25"/>
      <c r="Q11" s="110">
        <f>(+O11/D11)*(1+CALC!$A$3)</f>
        <v>14.928331917288347</v>
      </c>
    </row>
    <row r="12" spans="1:17" ht="10.8" thickBot="1" x14ac:dyDescent="0.25">
      <c r="Q12" s="16"/>
    </row>
    <row r="13" spans="1:17" ht="10.8" thickBot="1" x14ac:dyDescent="0.25">
      <c r="A13" s="283" t="s">
        <v>10</v>
      </c>
      <c r="B13" s="284" t="s">
        <v>428</v>
      </c>
      <c r="D13" s="556" t="s">
        <v>200</v>
      </c>
      <c r="E13" s="557"/>
      <c r="F13" s="558"/>
      <c r="Q13" s="16"/>
    </row>
    <row r="14" spans="1:17" x14ac:dyDescent="0.2">
      <c r="Q14" s="16"/>
    </row>
    <row r="15" spans="1:17" x14ac:dyDescent="0.2">
      <c r="A15" s="501" t="str">
        <f>+'1-10'!C48</f>
        <v>NISSAN NP 300 4X4 [037]</v>
      </c>
      <c r="B15" s="508" t="str">
        <f>+'1-10'!R48</f>
        <v>CLX 118 L</v>
      </c>
      <c r="C15" s="483">
        <v>647</v>
      </c>
      <c r="D15" s="6">
        <v>6000</v>
      </c>
      <c r="E15" s="514">
        <f>+D15/P15*(CALC!$A$4)*1.2</f>
        <v>21472.081218274114</v>
      </c>
      <c r="F15" s="28">
        <v>3000</v>
      </c>
      <c r="G15" s="28">
        <f>CALC!$A$23*(I15/CEM!I$148)</f>
        <v>3186.6792209254036</v>
      </c>
      <c r="H15" s="28">
        <f>40000*(1+CALC!B14)</f>
        <v>43200</v>
      </c>
      <c r="I15" s="28">
        <f>21598.32</f>
        <v>21598.32</v>
      </c>
      <c r="J15" s="28"/>
      <c r="K15" s="522">
        <f>678*(1+CALC!B$13)</f>
        <v>759.36000000000013</v>
      </c>
      <c r="L15" s="28"/>
      <c r="M15" s="28">
        <f>SUM(E15:L15)</f>
        <v>93216.440439199519</v>
      </c>
      <c r="N15" s="24">
        <f>M15/CALC!$A$8*CALC!$A$6</f>
        <v>1820.6080570542699</v>
      </c>
      <c r="O15" s="28">
        <f>+M15+N15</f>
        <v>95037.048496253788</v>
      </c>
      <c r="P15" s="37">
        <v>7.88</v>
      </c>
      <c r="Q15" s="38"/>
    </row>
    <row r="16" spans="1:17" s="7" customFormat="1" x14ac:dyDescent="0.2">
      <c r="B16" s="3" t="s">
        <v>14</v>
      </c>
      <c r="C16" s="18"/>
      <c r="D16" s="12">
        <f t="shared" ref="D16:M16" si="3">SUM(D15:D15)</f>
        <v>6000</v>
      </c>
      <c r="E16" s="10">
        <f t="shared" si="3"/>
        <v>21472.081218274114</v>
      </c>
      <c r="F16" s="10">
        <f t="shared" si="3"/>
        <v>3000</v>
      </c>
      <c r="G16" s="10">
        <f t="shared" si="3"/>
        <v>3186.6792209254036</v>
      </c>
      <c r="H16" s="10">
        <f t="shared" si="3"/>
        <v>43200</v>
      </c>
      <c r="I16" s="10">
        <f t="shared" si="3"/>
        <v>21598.32</v>
      </c>
      <c r="J16" s="10">
        <f t="shared" si="3"/>
        <v>0</v>
      </c>
      <c r="K16" s="10">
        <f t="shared" si="3"/>
        <v>759.36000000000013</v>
      </c>
      <c r="L16" s="10">
        <f t="shared" si="3"/>
        <v>0</v>
      </c>
      <c r="M16" s="10">
        <f t="shared" si="3"/>
        <v>93216.440439199519</v>
      </c>
      <c r="N16" s="10">
        <f>M16/CALC!$A$8*CALC!$A$6</f>
        <v>1820.6080570542699</v>
      </c>
      <c r="O16" s="10">
        <f>+M16+N16</f>
        <v>95037.048496253788</v>
      </c>
      <c r="P16" s="25"/>
      <c r="Q16" s="110">
        <f>(+O16/D16)*(1+CALC!$A$3)</f>
        <v>15.839508082708965</v>
      </c>
    </row>
    <row r="17" spans="1:18" x14ac:dyDescent="0.2">
      <c r="Q17" s="16"/>
    </row>
    <row r="18" spans="1:18" ht="10.8" thickBot="1" x14ac:dyDescent="0.25">
      <c r="Q18" s="16"/>
    </row>
    <row r="19" spans="1:18" s="7" customFormat="1" ht="10.8" thickBot="1" x14ac:dyDescent="0.25">
      <c r="A19" s="32" t="s">
        <v>74</v>
      </c>
      <c r="B19" s="57" t="s">
        <v>14</v>
      </c>
      <c r="C19" s="58"/>
      <c r="D19" s="59">
        <f t="shared" ref="D19:O19" si="4">+D11+D16</f>
        <v>17300</v>
      </c>
      <c r="E19" s="60">
        <f t="shared" si="4"/>
        <v>68463.273122322091</v>
      </c>
      <c r="F19" s="60">
        <f t="shared" si="4"/>
        <v>9000</v>
      </c>
      <c r="G19" s="60">
        <f t="shared" si="4"/>
        <v>7731.5603745868793</v>
      </c>
      <c r="H19" s="60">
        <f t="shared" si="4"/>
        <v>118800</v>
      </c>
      <c r="I19" s="60">
        <f t="shared" si="4"/>
        <v>52402.11</v>
      </c>
      <c r="J19" s="60">
        <f t="shared" si="4"/>
        <v>0</v>
      </c>
      <c r="K19" s="60">
        <f t="shared" si="4"/>
        <v>2278.0800000000004</v>
      </c>
      <c r="L19" s="60">
        <f t="shared" si="4"/>
        <v>0</v>
      </c>
      <c r="M19" s="60">
        <f t="shared" si="4"/>
        <v>258675.02349690895</v>
      </c>
      <c r="N19" s="60">
        <f t="shared" si="4"/>
        <v>5052.1756647031561</v>
      </c>
      <c r="O19" s="61">
        <f t="shared" si="4"/>
        <v>263727.19916161208</v>
      </c>
      <c r="P19" s="33"/>
      <c r="Q19" s="33"/>
    </row>
    <row r="22" spans="1:18" x14ac:dyDescent="0.2">
      <c r="D22" s="13">
        <f t="shared" ref="D22:O22" si="5">+D11+D16</f>
        <v>17300</v>
      </c>
      <c r="E22" s="13">
        <f t="shared" si="5"/>
        <v>68463.273122322091</v>
      </c>
      <c r="F22" s="13">
        <f t="shared" si="5"/>
        <v>9000</v>
      </c>
      <c r="G22" s="13">
        <f t="shared" si="5"/>
        <v>7731.5603745868793</v>
      </c>
      <c r="H22" s="13">
        <f t="shared" si="5"/>
        <v>118800</v>
      </c>
      <c r="I22" s="13">
        <f t="shared" si="5"/>
        <v>52402.11</v>
      </c>
      <c r="J22" s="13">
        <f t="shared" si="5"/>
        <v>0</v>
      </c>
      <c r="K22" s="13">
        <f t="shared" si="5"/>
        <v>2278.0800000000004</v>
      </c>
      <c r="L22" s="13">
        <f t="shared" si="5"/>
        <v>0</v>
      </c>
      <c r="M22" s="13">
        <f t="shared" si="5"/>
        <v>258675.02349690895</v>
      </c>
      <c r="N22" s="13">
        <f t="shared" si="5"/>
        <v>5052.1756647031561</v>
      </c>
      <c r="O22" s="13">
        <f t="shared" si="5"/>
        <v>263727.19916161208</v>
      </c>
      <c r="P22" s="13"/>
      <c r="Q22" s="13"/>
      <c r="R22" s="13"/>
    </row>
    <row r="25" spans="1:18" x14ac:dyDescent="0.2">
      <c r="E25" s="44"/>
    </row>
    <row r="27" spans="1:18" x14ac:dyDescent="0.2">
      <c r="E27" s="11"/>
    </row>
    <row r="127" spans="6:6" x14ac:dyDescent="0.2">
      <c r="F127" s="2">
        <f>SUM(F118:F126)</f>
        <v>0</v>
      </c>
    </row>
  </sheetData>
  <customSheetViews>
    <customSheetView guid="{60788006-5C2B-4CAF-8D5B-3FA82F99F0BB}" showPageBreaks="1" printArea="1" hiddenColumns="1" view="pageBreakPreview">
      <pane xSplit="3" ySplit="3" topLeftCell="D4" activePane="bottomRight" state="frozen"/>
      <selection pane="bottomRight" activeCell="F9" sqref="F9:L9"/>
      <pageMargins left="0" right="0" top="0" bottom="0" header="0.31496062992125984" footer="0.31496062992125984"/>
      <pageSetup paperSize="8" scale="85" orientation="landscape" r:id="rId1"/>
      <headerFooter alignWithMargins="0"/>
    </customSheetView>
    <customSheetView guid="{6C0BD6A7-6718-429D-82D9-D2FE0341EA2C}" showPageBreaks="1" printArea="1" hiddenColumns="1" view="pageBreakPreview">
      <pane xSplit="3" ySplit="3" topLeftCell="D4" activePane="bottomRight" state="frozen"/>
      <selection pane="bottomRight" activeCell="H15" sqref="H15"/>
      <pageMargins left="0" right="0" top="0" bottom="0" header="0.31496062992125984" footer="0.31496062992125984"/>
      <pageSetup paperSize="8" scale="85" orientation="landscape" r:id="rId2"/>
      <headerFooter alignWithMargins="0"/>
    </customSheetView>
    <customSheetView guid="{594C4AB0-8D5F-4373-9663-410F4413FE3A}" showPageBreaks="1" printArea="1" hiddenColumns="1" view="pageBreakPreview">
      <pane xSplit="3" ySplit="3" topLeftCell="D4" activePane="bottomRight" state="frozen"/>
      <selection pane="bottomRight" activeCell="A9" sqref="A9"/>
      <pageMargins left="0" right="0" top="0" bottom="0" header="0.31496062992125984" footer="0.31496062992125984"/>
      <pageSetup paperSize="8" scale="85" orientation="landscape" r:id="rId3"/>
      <headerFooter alignWithMargins="0"/>
    </customSheetView>
    <customSheetView guid="{DF69299D-7752-4436-A45D-28F739CEE21B}" showPageBreaks="1" printArea="1" hiddenColumns="1" view="pageBreakPreview">
      <pane xSplit="3" ySplit="3" topLeftCell="D4" activePane="bottomRight" state="frozen"/>
      <selection pane="bottomRight" activeCell="F9" sqref="F9:L9"/>
      <pageMargins left="0" right="0" top="0" bottom="0" header="0.31496062992125984" footer="0.31496062992125984"/>
      <pageSetup paperSize="8" scale="85" orientation="landscape" r:id="rId4"/>
      <headerFooter alignWithMargins="0"/>
    </customSheetView>
  </customSheetViews>
  <mergeCells count="2">
    <mergeCell ref="D6:F6"/>
    <mergeCell ref="D13:F13"/>
  </mergeCells>
  <phoneticPr fontId="0" type="noConversion"/>
  <pageMargins left="0" right="0" top="0" bottom="0" header="0.31496062992125984" footer="0.31496062992125984"/>
  <pageSetup paperSize="8" scale="85" orientation="landscape" r:id="rId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indexed="46"/>
  </sheetPr>
  <dimension ref="A1:Q456"/>
  <sheetViews>
    <sheetView view="pageBreakPreview" zoomScaleSheetLayoutView="100" workbookViewId="0">
      <pane xSplit="3" ySplit="3" topLeftCell="D91" activePane="bottomRight" state="frozen"/>
      <selection pane="topRight" activeCell="D1" sqref="D1"/>
      <selection pane="bottomLeft" activeCell="A4" sqref="A4"/>
      <selection pane="bottomRight" activeCell="K117" sqref="K117"/>
    </sheetView>
  </sheetViews>
  <sheetFormatPr defaultColWidth="10" defaultRowHeight="10.199999999999999" x14ac:dyDescent="0.2"/>
  <cols>
    <col min="1" max="1" width="23.44140625" style="2" bestFit="1" customWidth="1"/>
    <col min="2" max="2" width="19.77734375" style="2" bestFit="1" customWidth="1"/>
    <col min="3" max="3" width="3.77734375" style="4" customWidth="1"/>
    <col min="4" max="4" width="8.5546875" style="13" bestFit="1" customWidth="1"/>
    <col min="5" max="5" width="15.21875" style="2" customWidth="1"/>
    <col min="6" max="6" width="10.77734375" style="2" customWidth="1"/>
    <col min="7" max="7" width="12.44140625" style="2" bestFit="1" customWidth="1"/>
    <col min="8" max="9" width="13.21875" style="2" bestFit="1" customWidth="1"/>
    <col min="10" max="10" width="9.5546875" style="2" customWidth="1"/>
    <col min="11" max="12" width="11.21875" style="2" bestFit="1" customWidth="1"/>
    <col min="13" max="13" width="13.21875" style="2" bestFit="1" customWidth="1"/>
    <col min="14" max="14" width="11.21875" style="2" bestFit="1" customWidth="1"/>
    <col min="15" max="15" width="13.21875" style="2" customWidth="1"/>
    <col min="16" max="16" width="8.33203125" style="11" customWidth="1"/>
    <col min="17" max="17" width="7.77734375" style="21" bestFit="1" customWidth="1"/>
    <col min="18" max="16384" width="10" style="2"/>
  </cols>
  <sheetData>
    <row r="1" spans="1:17" ht="12" customHeight="1" x14ac:dyDescent="0.3">
      <c r="A1" s="360" t="s">
        <v>1568</v>
      </c>
      <c r="E1" s="359" t="s">
        <v>73</v>
      </c>
    </row>
    <row r="3" spans="1:17" s="7" customFormat="1" ht="30.6" x14ac:dyDescent="0.2">
      <c r="A3" s="285" t="s">
        <v>1</v>
      </c>
      <c r="B3" s="285" t="s">
        <v>0</v>
      </c>
      <c r="C3" s="286" t="s">
        <v>2</v>
      </c>
      <c r="D3" s="287" t="s">
        <v>3</v>
      </c>
      <c r="E3" s="288" t="s">
        <v>142</v>
      </c>
      <c r="F3" s="288" t="s">
        <v>1450</v>
      </c>
      <c r="G3" s="288" t="s">
        <v>131</v>
      </c>
      <c r="H3" s="288" t="s">
        <v>132</v>
      </c>
      <c r="I3" s="288" t="s">
        <v>137</v>
      </c>
      <c r="J3" s="288" t="s">
        <v>133</v>
      </c>
      <c r="K3" s="288" t="s">
        <v>134</v>
      </c>
      <c r="L3" s="289" t="str">
        <f>+mayor!L3</f>
        <v>INTEREST</v>
      </c>
      <c r="M3" s="290" t="s">
        <v>12</v>
      </c>
      <c r="N3" s="288" t="s">
        <v>136</v>
      </c>
      <c r="O3" s="288" t="s">
        <v>135</v>
      </c>
      <c r="P3" s="291" t="s">
        <v>63</v>
      </c>
      <c r="Q3" s="292" t="s">
        <v>11</v>
      </c>
    </row>
    <row r="4" spans="1:17" ht="10.8" thickBot="1" x14ac:dyDescent="0.25"/>
    <row r="5" spans="1:17" ht="10.8" thickBot="1" x14ac:dyDescent="0.25">
      <c r="A5" s="283" t="s">
        <v>10</v>
      </c>
      <c r="B5" s="284" t="s">
        <v>429</v>
      </c>
      <c r="D5" s="556" t="s">
        <v>623</v>
      </c>
      <c r="E5" s="557"/>
      <c r="F5" s="558"/>
    </row>
    <row r="7" spans="1:17" x14ac:dyDescent="0.2">
      <c r="A7" s="482" t="str">
        <f>+'1-10'!C20</f>
        <v>ISUZU KB200i 2x4 [105]</v>
      </c>
      <c r="B7" s="508" t="str">
        <f>+'1-10'!R20</f>
        <v>CMB 593 L</v>
      </c>
      <c r="C7" s="483">
        <v>619</v>
      </c>
      <c r="D7" s="6">
        <v>20000</v>
      </c>
      <c r="E7" s="514">
        <f>+D7/P7*(CALC!$A$4)</f>
        <v>70464.767616191908</v>
      </c>
      <c r="F7" s="9">
        <v>23400</v>
      </c>
      <c r="G7" s="28">
        <f>CALC!$A$23*(I7/CEM!I$148)</f>
        <v>2271.2521186022946</v>
      </c>
      <c r="H7" s="9">
        <f>35000*(1+CALC!B14)</f>
        <v>37800</v>
      </c>
      <c r="I7" s="9">
        <v>15393.84</v>
      </c>
      <c r="J7" s="28"/>
      <c r="K7" s="522">
        <f>678*(1+CALC!B$13)</f>
        <v>759.36000000000013</v>
      </c>
      <c r="L7" s="9"/>
      <c r="M7" s="9">
        <f>SUM(E7:L7)</f>
        <v>150089.2197347942</v>
      </c>
      <c r="N7" s="10">
        <f>M7/CALC!$A$8*CALC!$A$6</f>
        <v>2931.3889421081781</v>
      </c>
      <c r="O7" s="9">
        <f>+M7+N7</f>
        <v>153020.60867690237</v>
      </c>
      <c r="P7" s="37">
        <v>6.67</v>
      </c>
      <c r="Q7" s="16"/>
    </row>
    <row r="8" spans="1:17" x14ac:dyDescent="0.2">
      <c r="A8" s="36"/>
      <c r="B8" s="8"/>
      <c r="C8" s="14"/>
      <c r="D8" s="6"/>
      <c r="E8" s="9"/>
      <c r="F8" s="9"/>
      <c r="G8" s="9"/>
      <c r="H8" s="9"/>
      <c r="I8" s="9"/>
      <c r="J8" s="28"/>
      <c r="K8" s="9"/>
      <c r="L8" s="9"/>
      <c r="M8" s="9"/>
      <c r="N8" s="9"/>
      <c r="O8" s="9"/>
      <c r="P8" s="23"/>
      <c r="Q8" s="16"/>
    </row>
    <row r="9" spans="1:17" s="7" customFormat="1" x14ac:dyDescent="0.2">
      <c r="B9" s="3" t="s">
        <v>14</v>
      </c>
      <c r="C9" s="18"/>
      <c r="D9" s="12">
        <f t="shared" ref="D9:M9" si="0">SUM(D7:D8)</f>
        <v>20000</v>
      </c>
      <c r="E9" s="10">
        <f t="shared" si="0"/>
        <v>70464.767616191908</v>
      </c>
      <c r="F9" s="10">
        <f t="shared" si="0"/>
        <v>23400</v>
      </c>
      <c r="G9" s="10">
        <f t="shared" si="0"/>
        <v>2271.2521186022946</v>
      </c>
      <c r="H9" s="10">
        <f t="shared" si="0"/>
        <v>37800</v>
      </c>
      <c r="I9" s="10">
        <f t="shared" si="0"/>
        <v>15393.84</v>
      </c>
      <c r="J9" s="24">
        <f t="shared" si="0"/>
        <v>0</v>
      </c>
      <c r="K9" s="10">
        <f t="shared" si="0"/>
        <v>759.36000000000013</v>
      </c>
      <c r="L9" s="10">
        <f>+L7</f>
        <v>0</v>
      </c>
      <c r="M9" s="10">
        <f t="shared" si="0"/>
        <v>150089.2197347942</v>
      </c>
      <c r="N9" s="10">
        <f>+N7</f>
        <v>2931.3889421081781</v>
      </c>
      <c r="O9" s="10">
        <f>+M9+N9</f>
        <v>153020.60867690237</v>
      </c>
      <c r="P9" s="25"/>
      <c r="Q9" s="110">
        <f>(+O9/D9)*(1+CALC!$A$3)</f>
        <v>7.6510304338451185</v>
      </c>
    </row>
    <row r="10" spans="1:17" s="7" customFormat="1" ht="10.8" thickBot="1" x14ac:dyDescent="0.25">
      <c r="C10" s="29"/>
      <c r="D10" s="30"/>
      <c r="E10" s="31"/>
      <c r="F10" s="31"/>
      <c r="G10" s="31"/>
      <c r="H10" s="31"/>
      <c r="I10" s="31"/>
      <c r="J10" s="17"/>
      <c r="K10" s="31"/>
      <c r="L10" s="31"/>
      <c r="M10" s="31"/>
      <c r="N10" s="31"/>
      <c r="O10" s="31"/>
      <c r="P10" s="31"/>
      <c r="Q10" s="27"/>
    </row>
    <row r="11" spans="1:17" ht="10.8" thickBot="1" x14ac:dyDescent="0.25">
      <c r="A11" s="283" t="s">
        <v>10</v>
      </c>
      <c r="B11" s="284" t="s">
        <v>430</v>
      </c>
      <c r="D11" s="556" t="s">
        <v>624</v>
      </c>
      <c r="E11" s="557"/>
      <c r="F11" s="558"/>
    </row>
    <row r="13" spans="1:17" x14ac:dyDescent="0.2">
      <c r="A13" s="482" t="str">
        <f>+'1-10'!C54</f>
        <v>TOYOTA DYNA 150 [105]</v>
      </c>
      <c r="B13" s="508" t="str">
        <f>+'1-10'!R54</f>
        <v>CMN 322 L</v>
      </c>
      <c r="C13" s="483">
        <v>653</v>
      </c>
      <c r="D13" s="6">
        <v>0</v>
      </c>
      <c r="E13" s="514">
        <f>+D13/P13*(CALC!$A$4)</f>
        <v>0</v>
      </c>
      <c r="F13" s="28"/>
      <c r="G13" s="28"/>
      <c r="H13" s="28"/>
      <c r="I13" s="28"/>
      <c r="J13" s="28"/>
      <c r="K13" s="481"/>
      <c r="L13" s="28"/>
      <c r="M13" s="28">
        <f>SUM(E13:L13)</f>
        <v>0</v>
      </c>
      <c r="N13" s="28">
        <f>M13/CALC!$A$8*CALC!$A$6</f>
        <v>0</v>
      </c>
      <c r="O13" s="28">
        <f>+M13+N13</f>
        <v>0</v>
      </c>
      <c r="P13" s="37">
        <v>7</v>
      </c>
      <c r="Q13" s="38"/>
    </row>
    <row r="14" spans="1:17" x14ac:dyDescent="0.2">
      <c r="A14" s="508" t="str">
        <f>+'1-10'!C55</f>
        <v>TOYOTA DYNA 150 [105]</v>
      </c>
      <c r="B14" s="508" t="str">
        <f>+'1-10'!R55</f>
        <v>CMN 328 L</v>
      </c>
      <c r="C14" s="509">
        <v>654</v>
      </c>
      <c r="D14" s="6">
        <v>15000</v>
      </c>
      <c r="E14" s="514">
        <f>+D14/P14*(CALC!$A$4)</f>
        <v>50357.142857142855</v>
      </c>
      <c r="F14" s="28">
        <v>23400</v>
      </c>
      <c r="G14" s="28">
        <f>CALC!$A$23*(I14/CEM!I$148)</f>
        <v>3243.1011093349689</v>
      </c>
      <c r="H14" s="28">
        <f>35000*(1+CALC!B14)</f>
        <v>37800</v>
      </c>
      <c r="I14" s="28">
        <f>21980.73</f>
        <v>21980.73</v>
      </c>
      <c r="J14" s="28"/>
      <c r="K14" s="481">
        <f>1110*(1+CALC!B$13)</f>
        <v>1243.2</v>
      </c>
      <c r="L14" s="28"/>
      <c r="M14" s="28">
        <f>SUM(E14:L14)</f>
        <v>138024.17396647783</v>
      </c>
      <c r="N14" s="28">
        <f>M14/CALC!$A$8*CALC!$A$6</f>
        <v>2695.7468232820202</v>
      </c>
      <c r="O14" s="28">
        <f>+M14+N14</f>
        <v>140719.92078975984</v>
      </c>
      <c r="P14" s="37">
        <v>7</v>
      </c>
      <c r="Q14" s="38"/>
    </row>
    <row r="15" spans="1:17" s="7" customFormat="1" x14ac:dyDescent="0.2">
      <c r="A15" s="3"/>
      <c r="B15" s="3"/>
      <c r="C15" s="18"/>
      <c r="D15" s="12"/>
      <c r="E15" s="111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39"/>
      <c r="Q15" s="34"/>
    </row>
    <row r="16" spans="1:17" s="7" customFormat="1" x14ac:dyDescent="0.2">
      <c r="B16" s="3" t="s">
        <v>14</v>
      </c>
      <c r="C16" s="18"/>
      <c r="D16" s="12">
        <f t="shared" ref="D16:K16" si="1">SUM(D13:D15)</f>
        <v>15000</v>
      </c>
      <c r="E16" s="10">
        <f t="shared" si="1"/>
        <v>50357.142857142855</v>
      </c>
      <c r="F16" s="10">
        <f t="shared" si="1"/>
        <v>23400</v>
      </c>
      <c r="G16" s="10">
        <f t="shared" si="1"/>
        <v>3243.1011093349689</v>
      </c>
      <c r="H16" s="10">
        <f t="shared" si="1"/>
        <v>37800</v>
      </c>
      <c r="I16" s="10">
        <f t="shared" si="1"/>
        <v>21980.73</v>
      </c>
      <c r="J16" s="24">
        <f>SUM(J13:J15)</f>
        <v>0</v>
      </c>
      <c r="K16" s="10">
        <f t="shared" si="1"/>
        <v>1243.2</v>
      </c>
      <c r="L16" s="10">
        <f>+L13+L14</f>
        <v>0</v>
      </c>
      <c r="M16" s="10">
        <f>SUM(M13:M15)</f>
        <v>138024.17396647783</v>
      </c>
      <c r="N16" s="10">
        <f>+N13</f>
        <v>0</v>
      </c>
      <c r="O16" s="10">
        <f>+M16+N16</f>
        <v>138024.17396647783</v>
      </c>
      <c r="P16" s="25"/>
      <c r="Q16" s="110">
        <f>(+O16/D16)*(1+CALC!$A$3)</f>
        <v>9.2016115977651882</v>
      </c>
    </row>
    <row r="17" spans="1:17" s="7" customFormat="1" ht="10.8" thickBot="1" x14ac:dyDescent="0.25">
      <c r="C17" s="29"/>
      <c r="D17" s="30"/>
      <c r="E17" s="31"/>
      <c r="F17" s="31"/>
      <c r="G17" s="31"/>
      <c r="H17" s="31"/>
      <c r="I17" s="31"/>
      <c r="J17" s="17"/>
      <c r="K17" s="31"/>
      <c r="L17" s="31"/>
      <c r="M17" s="31"/>
      <c r="N17" s="31"/>
      <c r="O17" s="31"/>
      <c r="P17" s="31"/>
      <c r="Q17" s="27"/>
    </row>
    <row r="18" spans="1:17" ht="10.8" thickBot="1" x14ac:dyDescent="0.25">
      <c r="A18" s="283" t="s">
        <v>10</v>
      </c>
      <c r="B18" s="284" t="s">
        <v>431</v>
      </c>
      <c r="D18" s="556" t="s">
        <v>625</v>
      </c>
      <c r="E18" s="557"/>
      <c r="F18" s="558"/>
      <c r="Q18" s="16"/>
    </row>
    <row r="19" spans="1:17" x14ac:dyDescent="0.2">
      <c r="Q19" s="16"/>
    </row>
    <row r="20" spans="1:17" x14ac:dyDescent="0.2">
      <c r="A20" s="508" t="str">
        <f>+'1-10'!C61</f>
        <v>NISSAN   UD 40A M02 [105]</v>
      </c>
      <c r="B20" s="508" t="str">
        <f>+'1-10'!R61</f>
        <v>CMJ 505 L</v>
      </c>
      <c r="C20" s="509">
        <v>660</v>
      </c>
      <c r="D20" s="6">
        <v>15000</v>
      </c>
      <c r="E20" s="514">
        <f>+D20/P20*(CALC!$A$4)</f>
        <v>176250</v>
      </c>
      <c r="F20" s="28">
        <v>23400</v>
      </c>
      <c r="G20" s="28">
        <f>CALC!$A$23*(I20/CEM!I$148)</f>
        <v>4318.8837598891705</v>
      </c>
      <c r="H20" s="28">
        <f>50000*(1+CALC!B14)</f>
        <v>54000</v>
      </c>
      <c r="I20" s="28">
        <f>29272.05</f>
        <v>29272.05</v>
      </c>
      <c r="J20" s="28"/>
      <c r="K20" s="522">
        <f>1716*(1+CALC!B$13)</f>
        <v>1921.92</v>
      </c>
      <c r="L20" s="28"/>
      <c r="M20" s="28">
        <f>SUM(E20:L20)</f>
        <v>289162.85375988914</v>
      </c>
      <c r="N20" s="24">
        <f>M20/CALC!$A$8*CALC!$A$6</f>
        <v>5647.6327445633215</v>
      </c>
      <c r="O20" s="28">
        <f>+M20+N20</f>
        <v>294810.48650445248</v>
      </c>
      <c r="P20" s="37">
        <v>2</v>
      </c>
      <c r="Q20" s="38"/>
    </row>
    <row r="21" spans="1:17" x14ac:dyDescent="0.2">
      <c r="A21" s="482" t="str">
        <f>+'1-10'!C66</f>
        <v>NISSAN   UD 40A M02 [105]</v>
      </c>
      <c r="B21" s="508" t="str">
        <f>+'1-10'!R66</f>
        <v>CMN 471 L</v>
      </c>
      <c r="C21" s="483">
        <v>665</v>
      </c>
      <c r="D21" s="6">
        <v>10000</v>
      </c>
      <c r="E21" s="514">
        <f>+D21/P21*(CALC!$A$4)</f>
        <v>117500</v>
      </c>
      <c r="F21" s="28">
        <v>23400</v>
      </c>
      <c r="G21" s="28">
        <f>CALC!$A$23*(I21/CEM!I$148)</f>
        <v>4349.8500681431369</v>
      </c>
      <c r="H21" s="28">
        <f>50000*(1+CALC!B14)</f>
        <v>54000</v>
      </c>
      <c r="I21" s="28">
        <f>29481.93</f>
        <v>29481.93</v>
      </c>
      <c r="J21" s="28"/>
      <c r="K21" s="522">
        <f>1932*(1+CALC!B$13)</f>
        <v>2163.84</v>
      </c>
      <c r="L21" s="28"/>
      <c r="M21" s="28">
        <f>SUM(E21:L21)</f>
        <v>230895.62006814312</v>
      </c>
      <c r="N21" s="24">
        <f>M21/CALC!$A$8*CALC!$A$6</f>
        <v>4509.6168042244626</v>
      </c>
      <c r="O21" s="28">
        <f>+M21+N21</f>
        <v>235405.23687236759</v>
      </c>
      <c r="P21" s="37">
        <v>2</v>
      </c>
      <c r="Q21" s="38"/>
    </row>
    <row r="22" spans="1:17" x14ac:dyDescent="0.2">
      <c r="A22" s="8"/>
      <c r="B22" s="8"/>
      <c r="C22" s="14"/>
      <c r="D22" s="6"/>
      <c r="E22" s="47"/>
      <c r="F22" s="28"/>
      <c r="G22" s="28"/>
      <c r="H22" s="28"/>
      <c r="I22" s="28"/>
      <c r="J22" s="28"/>
      <c r="K22" s="28"/>
      <c r="L22" s="28"/>
      <c r="M22" s="28"/>
      <c r="N22" s="24"/>
      <c r="O22" s="28"/>
      <c r="P22" s="37"/>
      <c r="Q22" s="38"/>
    </row>
    <row r="23" spans="1:17" s="7" customFormat="1" x14ac:dyDescent="0.2">
      <c r="B23" s="3" t="s">
        <v>14</v>
      </c>
      <c r="C23" s="18"/>
      <c r="D23" s="12">
        <f t="shared" ref="D23:K23" si="2">SUM(D20:D22)</f>
        <v>25000</v>
      </c>
      <c r="E23" s="10">
        <f t="shared" si="2"/>
        <v>293750</v>
      </c>
      <c r="F23" s="10">
        <f t="shared" si="2"/>
        <v>46800</v>
      </c>
      <c r="G23" s="10">
        <f t="shared" si="2"/>
        <v>8668.7338280323074</v>
      </c>
      <c r="H23" s="10">
        <f t="shared" si="2"/>
        <v>108000</v>
      </c>
      <c r="I23" s="10">
        <f t="shared" si="2"/>
        <v>58753.979999999996</v>
      </c>
      <c r="J23" s="24">
        <f t="shared" si="2"/>
        <v>0</v>
      </c>
      <c r="K23" s="10">
        <f t="shared" si="2"/>
        <v>4085.76</v>
      </c>
      <c r="L23" s="10">
        <f>+L20+L21</f>
        <v>0</v>
      </c>
      <c r="M23" s="10">
        <f>SUM(M20:M22)</f>
        <v>520058.47382803226</v>
      </c>
      <c r="N23" s="10">
        <f>M23/CALC!$A$8*CALC!$A$6</f>
        <v>10157.249548787784</v>
      </c>
      <c r="O23" s="10">
        <f>+M23+N23</f>
        <v>530215.7233768201</v>
      </c>
      <c r="P23" s="39"/>
      <c r="Q23" s="110">
        <f>(+O23/D23)*(1+CALC!$A$3)</f>
        <v>21.208628935072802</v>
      </c>
    </row>
    <row r="24" spans="1:17" s="7" customFormat="1" ht="10.8" thickBot="1" x14ac:dyDescent="0.25">
      <c r="C24" s="29"/>
      <c r="D24" s="30"/>
      <c r="E24" s="31"/>
      <c r="F24" s="31"/>
      <c r="G24" s="31"/>
      <c r="H24" s="31"/>
      <c r="I24" s="31"/>
      <c r="J24" s="17"/>
      <c r="K24" s="31"/>
      <c r="L24" s="31"/>
      <c r="M24" s="31"/>
      <c r="N24" s="31"/>
      <c r="O24" s="31"/>
      <c r="P24" s="17"/>
      <c r="Q24" s="40"/>
    </row>
    <row r="25" spans="1:17" ht="10.8" thickBot="1" x14ac:dyDescent="0.25">
      <c r="A25" s="283" t="s">
        <v>10</v>
      </c>
      <c r="B25" s="284" t="s">
        <v>432</v>
      </c>
      <c r="D25" s="556" t="s">
        <v>626</v>
      </c>
      <c r="E25" s="557"/>
      <c r="F25" s="558"/>
      <c r="Q25" s="16"/>
    </row>
    <row r="26" spans="1:17" x14ac:dyDescent="0.2">
      <c r="Q26" s="16"/>
    </row>
    <row r="27" spans="1:17" x14ac:dyDescent="0.2">
      <c r="A27" s="496" t="str">
        <f>+'1-10'!C74</f>
        <v>NISSAN  UD40  TIPPER [105]</v>
      </c>
      <c r="B27" s="508" t="str">
        <f>+'1-10'!R74</f>
        <v>CPR 551L</v>
      </c>
      <c r="C27" s="483">
        <v>673</v>
      </c>
      <c r="D27" s="6">
        <v>15000</v>
      </c>
      <c r="E27" s="514">
        <f>+D27/P27*(CALC!$A$4)</f>
        <v>160227.27272727274</v>
      </c>
      <c r="F27" s="28">
        <v>23400</v>
      </c>
      <c r="G27" s="28">
        <f>CALC!$A$23*(I27/CEM!I$148)</f>
        <v>4206.0178516318938</v>
      </c>
      <c r="H27" s="28">
        <f>50000*(1+CALC!B14)</f>
        <v>54000</v>
      </c>
      <c r="I27" s="481">
        <v>28507.08</v>
      </c>
      <c r="J27" s="28"/>
      <c r="K27" s="522">
        <f>2460*(1+CALC!B$13)</f>
        <v>2755.2000000000003</v>
      </c>
      <c r="L27" s="28"/>
      <c r="M27" s="28">
        <f>SUM(E27:L27)</f>
        <v>273095.57057890465</v>
      </c>
      <c r="N27" s="24">
        <f>M27/CALC!$A$8*CALC!$A$6</f>
        <v>5333.8230230544559</v>
      </c>
      <c r="O27" s="28">
        <f>+M27+N27</f>
        <v>278429.39360195911</v>
      </c>
      <c r="P27" s="346">
        <v>2.2000000000000002</v>
      </c>
      <c r="Q27" s="38"/>
    </row>
    <row r="28" spans="1:17" x14ac:dyDescent="0.2">
      <c r="A28" s="36"/>
      <c r="B28" s="8"/>
      <c r="C28" s="14"/>
      <c r="D28" s="6"/>
      <c r="E28" s="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37"/>
      <c r="Q28" s="38"/>
    </row>
    <row r="29" spans="1:17" s="7" customFormat="1" x14ac:dyDescent="0.2">
      <c r="B29" s="3" t="s">
        <v>14</v>
      </c>
      <c r="C29" s="18"/>
      <c r="D29" s="12">
        <f t="shared" ref="D29:M29" si="3">SUM(D27:D28)</f>
        <v>15000</v>
      </c>
      <c r="E29" s="24">
        <f t="shared" si="3"/>
        <v>160227.27272727274</v>
      </c>
      <c r="F29" s="24">
        <f t="shared" si="3"/>
        <v>23400</v>
      </c>
      <c r="G29" s="24">
        <f t="shared" si="3"/>
        <v>4206.0178516318938</v>
      </c>
      <c r="H29" s="24">
        <f t="shared" si="3"/>
        <v>54000</v>
      </c>
      <c r="I29" s="24">
        <f t="shared" si="3"/>
        <v>28507.08</v>
      </c>
      <c r="J29" s="24">
        <f t="shared" si="3"/>
        <v>0</v>
      </c>
      <c r="K29" s="24">
        <f t="shared" si="3"/>
        <v>2755.2000000000003</v>
      </c>
      <c r="L29" s="24">
        <f>+L27</f>
        <v>0</v>
      </c>
      <c r="M29" s="24">
        <f t="shared" si="3"/>
        <v>273095.57057890465</v>
      </c>
      <c r="N29" s="24">
        <f>M29/CALC!$A$8*CALC!$A$6</f>
        <v>5333.8230230544559</v>
      </c>
      <c r="O29" s="24">
        <f>+M29+N29</f>
        <v>278429.39360195911</v>
      </c>
      <c r="P29" s="39"/>
      <c r="Q29" s="110">
        <f>(+O29/D29)*(1+CALC!$A$3)</f>
        <v>18.561959573463941</v>
      </c>
    </row>
    <row r="30" spans="1:17" s="7" customFormat="1" ht="10.8" thickBot="1" x14ac:dyDescent="0.25">
      <c r="C30" s="29"/>
      <c r="D30" s="30"/>
      <c r="E30" s="31"/>
      <c r="F30" s="31"/>
      <c r="G30" s="31"/>
      <c r="H30" s="31"/>
      <c r="I30" s="31"/>
      <c r="J30" s="17"/>
      <c r="K30" s="31"/>
      <c r="L30" s="31"/>
      <c r="M30" s="31"/>
      <c r="N30" s="31"/>
      <c r="O30" s="31"/>
      <c r="P30" s="17"/>
      <c r="Q30" s="40"/>
    </row>
    <row r="31" spans="1:17" ht="10.8" thickBot="1" x14ac:dyDescent="0.25">
      <c r="A31" s="283" t="s">
        <v>10</v>
      </c>
      <c r="B31" s="284" t="s">
        <v>105</v>
      </c>
      <c r="D31" s="556" t="s">
        <v>17</v>
      </c>
      <c r="E31" s="557"/>
      <c r="F31" s="558"/>
      <c r="Q31" s="16"/>
    </row>
    <row r="32" spans="1:17" x14ac:dyDescent="0.2">
      <c r="Q32" s="16"/>
    </row>
    <row r="33" spans="1:17" s="469" customFormat="1" x14ac:dyDescent="0.2">
      <c r="A33" s="508" t="s">
        <v>1474</v>
      </c>
      <c r="B33" s="462" t="s">
        <v>1473</v>
      </c>
      <c r="C33" s="333">
        <v>78</v>
      </c>
      <c r="D33" s="463">
        <v>600</v>
      </c>
      <c r="E33" s="521">
        <f>+D33/P33*(CALC!$A$4)</f>
        <v>54230.769230769227</v>
      </c>
      <c r="F33" s="465">
        <v>3000</v>
      </c>
      <c r="G33" s="28">
        <f>CALC!$A$23*(I33/CEM!I$148)</f>
        <v>0</v>
      </c>
      <c r="H33" s="465">
        <f>8330*(1+CALC!B14)</f>
        <v>8996.4000000000015</v>
      </c>
      <c r="I33" s="465"/>
      <c r="J33" s="465"/>
      <c r="K33" s="522">
        <f>258*(1+CALC!B$143)</f>
        <v>258</v>
      </c>
      <c r="L33" s="465"/>
      <c r="M33" s="465">
        <f t="shared" ref="M33:M39" si="4">SUM(E33:L33)</f>
        <v>66485.169230769228</v>
      </c>
      <c r="N33" s="466">
        <f>M33/CALC!$A$8*CALC!$A$6</f>
        <v>1298.5202417711471</v>
      </c>
      <c r="O33" s="465">
        <f t="shared" ref="O33:O39" si="5">+M33+N33</f>
        <v>67783.689472540369</v>
      </c>
      <c r="P33" s="467">
        <v>0.26</v>
      </c>
      <c r="Q33" s="468"/>
    </row>
    <row r="34" spans="1:17" s="469" customFormat="1" x14ac:dyDescent="0.2">
      <c r="A34" s="508" t="s">
        <v>1488</v>
      </c>
      <c r="B34" s="462" t="s">
        <v>27</v>
      </c>
      <c r="C34" s="333">
        <v>82</v>
      </c>
      <c r="D34" s="463">
        <v>100</v>
      </c>
      <c r="E34" s="521">
        <f>+D34/P34*(CALC!$A$4)</f>
        <v>7833.3333333333339</v>
      </c>
      <c r="F34" s="465">
        <v>3000</v>
      </c>
      <c r="G34" s="28">
        <f>CALC!$A$23*(I34/CEM!I$148)</f>
        <v>0</v>
      </c>
      <c r="H34" s="465">
        <f>13416*(1+CALC!B14)</f>
        <v>14489.28</v>
      </c>
      <c r="I34" s="465"/>
      <c r="J34" s="465"/>
      <c r="K34" s="522">
        <f>258*(1+CALC!B$143)</f>
        <v>258</v>
      </c>
      <c r="L34" s="465"/>
      <c r="M34" s="465">
        <f>SUM(E34:L34)</f>
        <v>25580.613333333335</v>
      </c>
      <c r="N34" s="466">
        <f>M34/CALC!$A$8*CALC!$A$6</f>
        <v>499.61434398938832</v>
      </c>
      <c r="O34" s="465">
        <f>+M34+N34</f>
        <v>26080.227677322724</v>
      </c>
      <c r="P34" s="467">
        <v>0.3</v>
      </c>
      <c r="Q34" s="468"/>
    </row>
    <row r="35" spans="1:17" s="469" customFormat="1" x14ac:dyDescent="0.2">
      <c r="A35" s="508" t="s">
        <v>1470</v>
      </c>
      <c r="B35" s="462" t="s">
        <v>1469</v>
      </c>
      <c r="C35" s="333">
        <v>83</v>
      </c>
      <c r="D35" s="463">
        <v>600</v>
      </c>
      <c r="E35" s="521">
        <f>+D35/P35*(CALC!$A$4)</f>
        <v>64090.909090909096</v>
      </c>
      <c r="F35" s="465">
        <v>3000</v>
      </c>
      <c r="G35" s="28">
        <f>CALC!$A$23*(I35/CEM!I$148)</f>
        <v>0</v>
      </c>
      <c r="H35" s="465">
        <f>6000*(1+CALC!B14)</f>
        <v>6480</v>
      </c>
      <c r="I35" s="465"/>
      <c r="J35" s="465"/>
      <c r="K35" s="522">
        <f>258*(1+CALC!B$143)</f>
        <v>258</v>
      </c>
      <c r="L35" s="465"/>
      <c r="M35" s="465">
        <f t="shared" si="4"/>
        <v>73828.909090909088</v>
      </c>
      <c r="N35" s="466">
        <f>M35/CALC!$A$8*CALC!$A$6</f>
        <v>1441.9506484170849</v>
      </c>
      <c r="O35" s="465">
        <f t="shared" si="5"/>
        <v>75270.859739326173</v>
      </c>
      <c r="P35" s="467">
        <v>0.22</v>
      </c>
      <c r="Q35" s="468"/>
    </row>
    <row r="36" spans="1:17" s="469" customFormat="1" x14ac:dyDescent="0.2">
      <c r="A36" s="462" t="s">
        <v>24</v>
      </c>
      <c r="B36" s="462" t="s">
        <v>28</v>
      </c>
      <c r="C36" s="333">
        <v>124</v>
      </c>
      <c r="D36" s="463">
        <v>100</v>
      </c>
      <c r="E36" s="470">
        <f>+D36/P36*(CALC!$A$4)</f>
        <v>6025.6410256410254</v>
      </c>
      <c r="F36" s="465">
        <v>3000</v>
      </c>
      <c r="G36" s="28">
        <f>CALC!$A$23*(I36/CEM!I$148)</f>
        <v>0</v>
      </c>
      <c r="H36" s="465">
        <f>6000*(1+CALC!B14)</f>
        <v>6480</v>
      </c>
      <c r="I36" s="465"/>
      <c r="J36" s="465"/>
      <c r="K36" s="465">
        <f>390*(1+CALC!B$13)</f>
        <v>436.80000000000007</v>
      </c>
      <c r="L36" s="465"/>
      <c r="M36" s="465">
        <f t="shared" si="4"/>
        <v>15942.441025641025</v>
      </c>
      <c r="N36" s="466">
        <f>M36/CALC!$A$8*CALC!$A$6</f>
        <v>311.37143237437948</v>
      </c>
      <c r="O36" s="465">
        <f t="shared" si="5"/>
        <v>16253.812458015404</v>
      </c>
      <c r="P36" s="467">
        <v>0.39</v>
      </c>
      <c r="Q36" s="468"/>
    </row>
    <row r="37" spans="1:17" s="469" customFormat="1" x14ac:dyDescent="0.2">
      <c r="A37" s="508" t="s">
        <v>1471</v>
      </c>
      <c r="B37" s="462" t="s">
        <v>1472</v>
      </c>
      <c r="C37" s="333">
        <v>151</v>
      </c>
      <c r="D37" s="463">
        <v>200</v>
      </c>
      <c r="E37" s="521">
        <f>+D37/P37*(CALC!$A$4)</f>
        <v>15666.666666666668</v>
      </c>
      <c r="F37" s="465">
        <v>3000</v>
      </c>
      <c r="G37" s="28">
        <f>CALC!$A$23*(I37/CEM!I$148)</f>
        <v>0</v>
      </c>
      <c r="H37" s="465">
        <f>6000*(1+CALC!B14)</f>
        <v>6480</v>
      </c>
      <c r="I37" s="465"/>
      <c r="J37" s="465"/>
      <c r="K37" s="522">
        <f>258*(1+CALC!B$13)</f>
        <v>288.96000000000004</v>
      </c>
      <c r="L37" s="465"/>
      <c r="M37" s="465">
        <f t="shared" si="4"/>
        <v>25435.626666666667</v>
      </c>
      <c r="N37" s="466">
        <f>M37/CALC!$A$8*CALC!$A$6</f>
        <v>496.78261288857516</v>
      </c>
      <c r="O37" s="465">
        <f t="shared" si="5"/>
        <v>25932.409279555242</v>
      </c>
      <c r="P37" s="467">
        <v>0.3</v>
      </c>
      <c r="Q37" s="468"/>
    </row>
    <row r="38" spans="1:17" s="469" customFormat="1" x14ac:dyDescent="0.2">
      <c r="A38" s="508" t="s">
        <v>1476</v>
      </c>
      <c r="B38" s="462" t="s">
        <v>1475</v>
      </c>
      <c r="C38" s="333">
        <v>408</v>
      </c>
      <c r="D38" s="463">
        <v>200</v>
      </c>
      <c r="E38" s="521">
        <f>+D38/P38*(CALC!$A$4)</f>
        <v>15666.666666666668</v>
      </c>
      <c r="F38" s="465">
        <v>3000</v>
      </c>
      <c r="G38" s="28">
        <f>CALC!$A$23*(I38/CEM!I$148)</f>
        <v>0</v>
      </c>
      <c r="H38" s="465">
        <f>10000*(1+CALC!B14)</f>
        <v>10800</v>
      </c>
      <c r="I38" s="465"/>
      <c r="J38" s="465"/>
      <c r="K38" s="522">
        <f>258*(1+CALC!B$13)</f>
        <v>288.96000000000004</v>
      </c>
      <c r="L38" s="465"/>
      <c r="M38" s="465">
        <f t="shared" si="4"/>
        <v>29755.626666666667</v>
      </c>
      <c r="N38" s="466">
        <f>M38/CALC!$A$8*CALC!$A$6</f>
        <v>581.15642902462912</v>
      </c>
      <c r="O38" s="465">
        <f t="shared" si="5"/>
        <v>30336.783095691295</v>
      </c>
      <c r="P38" s="467">
        <v>0.3</v>
      </c>
      <c r="Q38" s="468"/>
    </row>
    <row r="39" spans="1:17" x14ac:dyDescent="0.2">
      <c r="A39" s="36"/>
      <c r="B39" s="8"/>
      <c r="C39" s="14"/>
      <c r="D39" s="6"/>
      <c r="E39" s="9"/>
      <c r="F39" s="9"/>
      <c r="G39" s="9"/>
      <c r="H39" s="9"/>
      <c r="I39" s="9"/>
      <c r="J39" s="28"/>
      <c r="K39" s="9"/>
      <c r="L39" s="9"/>
      <c r="M39" s="9">
        <f t="shared" si="4"/>
        <v>0</v>
      </c>
      <c r="N39" s="9"/>
      <c r="O39" s="9">
        <f t="shared" si="5"/>
        <v>0</v>
      </c>
      <c r="P39" s="23"/>
      <c r="Q39" s="16"/>
    </row>
    <row r="40" spans="1:17" s="7" customFormat="1" x14ac:dyDescent="0.2">
      <c r="B40" s="3" t="s">
        <v>14</v>
      </c>
      <c r="C40" s="18"/>
      <c r="D40" s="12">
        <f t="shared" ref="D40:M40" si="6">SUM(D33:D39)</f>
        <v>1800</v>
      </c>
      <c r="E40" s="10">
        <f t="shared" si="6"/>
        <v>163513.986013986</v>
      </c>
      <c r="F40" s="10">
        <f t="shared" si="6"/>
        <v>18000</v>
      </c>
      <c r="G40" s="10">
        <f t="shared" si="6"/>
        <v>0</v>
      </c>
      <c r="H40" s="10">
        <f t="shared" si="6"/>
        <v>53725.68</v>
      </c>
      <c r="I40" s="10">
        <f t="shared" si="6"/>
        <v>0</v>
      </c>
      <c r="J40" s="24">
        <f t="shared" si="6"/>
        <v>0</v>
      </c>
      <c r="K40" s="10">
        <f t="shared" si="6"/>
        <v>1788.7200000000003</v>
      </c>
      <c r="L40" s="10"/>
      <c r="M40" s="10">
        <f t="shared" si="6"/>
        <v>237028.38601398602</v>
      </c>
      <c r="N40" s="10">
        <f>M40/CALC!$A$8*CALC!$A$6</f>
        <v>4629.3957084652047</v>
      </c>
      <c r="O40" s="10">
        <f>+M40+N40</f>
        <v>241657.78172245121</v>
      </c>
      <c r="P40" s="25"/>
      <c r="Q40" s="110">
        <f>(+O40/D40)*(1+CALC!$A$3)</f>
        <v>134.25432317913956</v>
      </c>
    </row>
    <row r="41" spans="1:17" ht="10.8" thickBot="1" x14ac:dyDescent="0.25">
      <c r="Q41" s="16"/>
    </row>
    <row r="42" spans="1:17" ht="10.8" thickBot="1" x14ac:dyDescent="0.25">
      <c r="A42" s="283" t="s">
        <v>10</v>
      </c>
      <c r="B42" s="284" t="s">
        <v>106</v>
      </c>
      <c r="D42" s="556" t="s">
        <v>15</v>
      </c>
      <c r="E42" s="557"/>
      <c r="F42" s="558"/>
      <c r="Q42" s="16"/>
    </row>
    <row r="43" spans="1:17" x14ac:dyDescent="0.2">
      <c r="Q43" s="16"/>
    </row>
    <row r="44" spans="1:17" s="469" customFormat="1" x14ac:dyDescent="0.2">
      <c r="A44" s="508" t="s">
        <v>1530</v>
      </c>
      <c r="B44" s="462" t="s">
        <v>1529</v>
      </c>
      <c r="C44" s="333">
        <v>94</v>
      </c>
      <c r="D44" s="463"/>
      <c r="E44" s="470"/>
      <c r="F44" s="465"/>
      <c r="G44" s="28">
        <f>CALC!$A$23*(I44/CEM!I$148)</f>
        <v>0</v>
      </c>
      <c r="H44" s="465">
        <f>5000*(1+CALC!B$14)</f>
        <v>5400</v>
      </c>
      <c r="I44" s="465"/>
      <c r="J44" s="465"/>
      <c r="K44" s="522">
        <f>468*(1+CALC!B$13)</f>
        <v>524.16000000000008</v>
      </c>
      <c r="L44" s="465"/>
      <c r="M44" s="465">
        <f>SUM(E44:L44)</f>
        <v>5924.16</v>
      </c>
      <c r="N44" s="466">
        <f>M44/CALC!$A$8*CALC!$A$6</f>
        <v>115.70462652790867</v>
      </c>
      <c r="O44" s="465">
        <f t="shared" ref="O44:O49" si="7">+M44+N44</f>
        <v>6039.8646265279085</v>
      </c>
      <c r="P44" s="471"/>
      <c r="Q44" s="468"/>
    </row>
    <row r="45" spans="1:17" s="469" customFormat="1" x14ac:dyDescent="0.2">
      <c r="A45" s="508" t="s">
        <v>1550</v>
      </c>
      <c r="B45" s="462" t="s">
        <v>1479</v>
      </c>
      <c r="C45" s="333">
        <v>97</v>
      </c>
      <c r="D45" s="463"/>
      <c r="E45" s="470"/>
      <c r="F45" s="465"/>
      <c r="G45" s="28">
        <f>CALC!$A$23*(I45/CEM!I$148)</f>
        <v>0</v>
      </c>
      <c r="H45" s="465">
        <f>5000*(1+CALC!B$14)</f>
        <v>5400</v>
      </c>
      <c r="I45" s="465"/>
      <c r="J45" s="465"/>
      <c r="K45" s="522">
        <f>468*(1+CALC!B$13)</f>
        <v>524.16000000000008</v>
      </c>
      <c r="L45" s="465"/>
      <c r="M45" s="465">
        <f>SUM(E45:L45)</f>
        <v>5924.16</v>
      </c>
      <c r="N45" s="466">
        <f>M45/CALC!$A$8*CALC!$A$6</f>
        <v>115.70462652790867</v>
      </c>
      <c r="O45" s="465">
        <f t="shared" si="7"/>
        <v>6039.8646265279085</v>
      </c>
      <c r="P45" s="471"/>
      <c r="Q45" s="468"/>
    </row>
    <row r="46" spans="1:17" s="469" customFormat="1" x14ac:dyDescent="0.2">
      <c r="A46" s="462" t="s">
        <v>1547</v>
      </c>
      <c r="B46" s="462" t="s">
        <v>1546</v>
      </c>
      <c r="C46" s="333">
        <v>98</v>
      </c>
      <c r="D46" s="463"/>
      <c r="E46" s="470"/>
      <c r="F46" s="465"/>
      <c r="G46" s="28">
        <f>CALC!$A$23*(I46/CEM!I$148)</f>
        <v>0</v>
      </c>
      <c r="H46" s="465">
        <f>5000*(1+CALC!B$14)</f>
        <v>5400</v>
      </c>
      <c r="I46" s="465"/>
      <c r="J46" s="465"/>
      <c r="K46" s="522">
        <f>468*(1+CALC!B$13)</f>
        <v>524.16000000000008</v>
      </c>
      <c r="L46" s="465"/>
      <c r="M46" s="465">
        <f>SUM(E46:L46)</f>
        <v>5924.16</v>
      </c>
      <c r="N46" s="466">
        <f>M46/CALC!$A$8*CALC!$A$6</f>
        <v>115.70462652790867</v>
      </c>
      <c r="O46" s="465">
        <f t="shared" si="7"/>
        <v>6039.8646265279085</v>
      </c>
      <c r="P46" s="471"/>
      <c r="Q46" s="468"/>
    </row>
    <row r="47" spans="1:17" s="469" customFormat="1" x14ac:dyDescent="0.2">
      <c r="A47" s="462" t="s">
        <v>1513</v>
      </c>
      <c r="B47" s="462" t="s">
        <v>1514</v>
      </c>
      <c r="C47" s="333">
        <v>405</v>
      </c>
      <c r="D47" s="463"/>
      <c r="E47" s="470"/>
      <c r="F47" s="465"/>
      <c r="G47" s="28">
        <f>CALC!$A$23*(I47/CEM!I$148)</f>
        <v>0</v>
      </c>
      <c r="H47" s="465">
        <f>5000*(1+CALC!B$14)</f>
        <v>5400</v>
      </c>
      <c r="I47" s="465">
        <v>0</v>
      </c>
      <c r="J47" s="465"/>
      <c r="K47" s="522">
        <v>468</v>
      </c>
      <c r="L47" s="465"/>
      <c r="M47" s="465">
        <f>SUM(E47:L47)</f>
        <v>5868</v>
      </c>
      <c r="N47" s="466">
        <f>M47/CALC!$A$8*CALC!$A$6</f>
        <v>114.60776691813996</v>
      </c>
      <c r="O47" s="465">
        <f t="shared" si="7"/>
        <v>5982.6077669181395</v>
      </c>
      <c r="P47" s="471"/>
      <c r="Q47" s="468"/>
    </row>
    <row r="48" spans="1:17" x14ac:dyDescent="0.2">
      <c r="A48" s="8"/>
      <c r="B48" s="8"/>
      <c r="C48" s="14"/>
      <c r="D48" s="6"/>
      <c r="E48" s="22"/>
      <c r="F48" s="9"/>
      <c r="G48" s="9"/>
      <c r="H48" s="9"/>
      <c r="I48" s="9"/>
      <c r="J48" s="28"/>
      <c r="K48" s="9"/>
      <c r="L48" s="9"/>
      <c r="M48" s="9">
        <f>SUM(E48:L48)</f>
        <v>0</v>
      </c>
      <c r="N48" s="9"/>
      <c r="O48" s="9">
        <f t="shared" si="7"/>
        <v>0</v>
      </c>
      <c r="P48" s="15"/>
      <c r="Q48" s="16"/>
    </row>
    <row r="49" spans="1:17" s="7" customFormat="1" x14ac:dyDescent="0.2">
      <c r="B49" s="3" t="s">
        <v>14</v>
      </c>
      <c r="C49" s="18"/>
      <c r="D49" s="12">
        <v>0</v>
      </c>
      <c r="E49" s="10">
        <f t="shared" ref="E49:K49" si="8">SUM(E44:E48)</f>
        <v>0</v>
      </c>
      <c r="F49" s="10">
        <f t="shared" si="8"/>
        <v>0</v>
      </c>
      <c r="G49" s="10">
        <f t="shared" si="8"/>
        <v>0</v>
      </c>
      <c r="H49" s="10">
        <f t="shared" si="8"/>
        <v>21600</v>
      </c>
      <c r="I49" s="10">
        <f t="shared" si="8"/>
        <v>0</v>
      </c>
      <c r="J49" s="24">
        <f t="shared" si="8"/>
        <v>0</v>
      </c>
      <c r="K49" s="10">
        <f t="shared" si="8"/>
        <v>2040.4800000000002</v>
      </c>
      <c r="L49" s="10"/>
      <c r="M49" s="10">
        <f>SUM(M44:M48)</f>
        <v>23640.48</v>
      </c>
      <c r="N49" s="10">
        <f>M49/CALC!$A$8*CALC!$A$6</f>
        <v>461.72164650186602</v>
      </c>
      <c r="O49" s="10">
        <f t="shared" si="7"/>
        <v>24102.201646501864</v>
      </c>
      <c r="P49" s="31"/>
      <c r="Q49" s="27"/>
    </row>
    <row r="50" spans="1:17" s="7" customFormat="1" x14ac:dyDescent="0.2">
      <c r="C50" s="29"/>
      <c r="D50" s="30"/>
      <c r="E50" s="31"/>
      <c r="F50" s="31"/>
      <c r="G50" s="31"/>
      <c r="H50" s="31"/>
      <c r="I50" s="31"/>
      <c r="J50" s="17"/>
      <c r="K50" s="31"/>
      <c r="L50" s="31"/>
      <c r="M50" s="31"/>
      <c r="N50" s="31"/>
      <c r="O50" s="31"/>
      <c r="P50" s="31"/>
      <c r="Q50" s="27"/>
    </row>
    <row r="51" spans="1:17" s="7" customFormat="1" x14ac:dyDescent="0.2">
      <c r="A51" s="32" t="s">
        <v>41</v>
      </c>
      <c r="B51" s="50" t="s">
        <v>14</v>
      </c>
      <c r="C51" s="51"/>
      <c r="D51" s="52">
        <f>+D9+D16+D23+D29+D40+D49</f>
        <v>76800</v>
      </c>
      <c r="E51" s="54">
        <f>+E9+E16+E23+E29+E40+E49</f>
        <v>738313.16921459348</v>
      </c>
      <c r="F51" s="54">
        <f>+F9+F16+F23+F29+F40+F49</f>
        <v>135000</v>
      </c>
      <c r="G51" s="54">
        <f t="shared" ref="G51:O51" si="9">+G9+G16+G23+G29+G40+G49</f>
        <v>18389.104907601464</v>
      </c>
      <c r="H51" s="54">
        <f t="shared" si="9"/>
        <v>312925.68</v>
      </c>
      <c r="I51" s="54">
        <f t="shared" si="9"/>
        <v>124635.62999999999</v>
      </c>
      <c r="J51" s="54">
        <f t="shared" si="9"/>
        <v>0</v>
      </c>
      <c r="K51" s="54">
        <f t="shared" si="9"/>
        <v>12672.720000000001</v>
      </c>
      <c r="L51" s="54">
        <f t="shared" si="9"/>
        <v>0</v>
      </c>
      <c r="M51" s="54">
        <f t="shared" si="9"/>
        <v>1341936.3041221949</v>
      </c>
      <c r="N51" s="54">
        <f>+N9+N16+N23+N29+N40+N49</f>
        <v>23513.578868917488</v>
      </c>
      <c r="O51" s="54">
        <f t="shared" si="9"/>
        <v>1365449.8829911125</v>
      </c>
      <c r="P51" s="345"/>
      <c r="Q51" s="40"/>
    </row>
    <row r="52" spans="1:17" s="7" customFormat="1" ht="10.8" thickBot="1" x14ac:dyDescent="0.25">
      <c r="A52" s="115"/>
      <c r="B52" s="116"/>
      <c r="C52" s="117"/>
      <c r="D52" s="118"/>
      <c r="E52" s="119"/>
      <c r="F52" s="119"/>
      <c r="G52" s="119"/>
      <c r="H52" s="119"/>
      <c r="I52" s="119"/>
      <c r="J52" s="119"/>
      <c r="K52" s="119"/>
      <c r="L52" s="119"/>
      <c r="M52" s="119"/>
      <c r="N52" s="119"/>
      <c r="O52" s="119"/>
      <c r="P52" s="119"/>
      <c r="Q52" s="120"/>
    </row>
    <row r="53" spans="1:17" ht="11.4" thickTop="1" thickBot="1" x14ac:dyDescent="0.25">
      <c r="Q53" s="16"/>
    </row>
    <row r="54" spans="1:17" ht="10.8" thickBot="1" x14ac:dyDescent="0.25">
      <c r="A54" s="283" t="s">
        <v>10</v>
      </c>
      <c r="B54" s="284" t="s">
        <v>107</v>
      </c>
      <c r="D54" s="556" t="s">
        <v>15</v>
      </c>
      <c r="E54" s="557"/>
      <c r="F54" s="558"/>
      <c r="Q54" s="16"/>
    </row>
    <row r="55" spans="1:17" x14ac:dyDescent="0.2">
      <c r="Q55" s="16"/>
    </row>
    <row r="56" spans="1:17" x14ac:dyDescent="0.2">
      <c r="A56" s="8"/>
      <c r="B56" s="8"/>
      <c r="C56" s="14"/>
      <c r="D56" s="6"/>
      <c r="E56" s="22"/>
      <c r="F56" s="9"/>
      <c r="G56" s="9"/>
      <c r="H56" s="9"/>
      <c r="I56" s="9"/>
      <c r="J56" s="28"/>
      <c r="K56" s="9"/>
      <c r="L56" s="9"/>
      <c r="M56" s="9"/>
      <c r="N56" s="10"/>
      <c r="O56" s="9"/>
      <c r="P56" s="23"/>
      <c r="Q56" s="16"/>
    </row>
    <row r="57" spans="1:17" s="469" customFormat="1" x14ac:dyDescent="0.2">
      <c r="A57" s="508" t="s">
        <v>1528</v>
      </c>
      <c r="B57" s="462" t="s">
        <v>1527</v>
      </c>
      <c r="C57" s="333">
        <v>17</v>
      </c>
      <c r="D57" s="463"/>
      <c r="E57" s="470"/>
      <c r="F57" s="465"/>
      <c r="G57" s="28">
        <f>CALC!$A$23*(I57/CEM!I$148)</f>
        <v>0</v>
      </c>
      <c r="H57" s="465">
        <f>5000*(1+CALC!B14)</f>
        <v>5400</v>
      </c>
      <c r="I57" s="465"/>
      <c r="J57" s="465"/>
      <c r="K57" s="522">
        <f>468*(1+CALC!B$13)</f>
        <v>524.16000000000008</v>
      </c>
      <c r="L57" s="465"/>
      <c r="M57" s="465">
        <f>SUM(E57:L57)</f>
        <v>5924.16</v>
      </c>
      <c r="N57" s="466">
        <f>M57/CALC!$A$8*CALC!$A$6</f>
        <v>115.70462652790867</v>
      </c>
      <c r="O57" s="465">
        <f t="shared" ref="O57:O59" si="10">+M57+N57</f>
        <v>6039.8646265279085</v>
      </c>
      <c r="P57" s="467"/>
      <c r="Q57" s="468"/>
    </row>
    <row r="58" spans="1:17" x14ac:dyDescent="0.2">
      <c r="A58" s="542" t="s">
        <v>1490</v>
      </c>
      <c r="B58" s="530" t="s">
        <v>1491</v>
      </c>
      <c r="C58" s="14"/>
      <c r="D58" s="6"/>
      <c r="E58" s="9"/>
      <c r="F58" s="9"/>
      <c r="G58" s="9"/>
      <c r="H58" s="9">
        <f>25000*(1+CALC!B14)</f>
        <v>27000</v>
      </c>
      <c r="I58" s="9"/>
      <c r="J58" s="28"/>
      <c r="K58" s="522">
        <f>8358*(1+CALC!B$13)</f>
        <v>9360.9600000000009</v>
      </c>
      <c r="L58" s="9"/>
      <c r="M58" s="9">
        <f>SUM(E58:L58)</f>
        <v>36360.959999999999</v>
      </c>
      <c r="N58" s="9"/>
      <c r="O58" s="9">
        <f t="shared" si="10"/>
        <v>36360.959999999999</v>
      </c>
      <c r="P58" s="23"/>
      <c r="Q58" s="16"/>
    </row>
    <row r="59" spans="1:17" s="7" customFormat="1" x14ac:dyDescent="0.2">
      <c r="B59" s="3" t="s">
        <v>14</v>
      </c>
      <c r="C59" s="18"/>
      <c r="D59" s="12">
        <f t="shared" ref="D59:K59" si="11">SUM(D56:D58)</f>
        <v>0</v>
      </c>
      <c r="E59" s="10">
        <f t="shared" si="11"/>
        <v>0</v>
      </c>
      <c r="F59" s="10">
        <f t="shared" si="11"/>
        <v>0</v>
      </c>
      <c r="G59" s="10">
        <f t="shared" si="11"/>
        <v>0</v>
      </c>
      <c r="H59" s="10">
        <f t="shared" si="11"/>
        <v>32400</v>
      </c>
      <c r="I59" s="10">
        <f t="shared" si="11"/>
        <v>0</v>
      </c>
      <c r="J59" s="24">
        <f t="shared" si="11"/>
        <v>0</v>
      </c>
      <c r="K59" s="10">
        <f t="shared" si="11"/>
        <v>9885.1200000000008</v>
      </c>
      <c r="L59" s="10"/>
      <c r="M59" s="10">
        <f>SUM(M56:M58)</f>
        <v>42285.119999999995</v>
      </c>
      <c r="N59" s="10">
        <f>M59/CALC!$A$8*CALC!$A$6</f>
        <v>825.86966207661533</v>
      </c>
      <c r="O59" s="10">
        <f t="shared" si="10"/>
        <v>43110.989662076609</v>
      </c>
      <c r="P59" s="25"/>
      <c r="Q59" s="27"/>
    </row>
    <row r="60" spans="1:17" x14ac:dyDescent="0.2">
      <c r="Q60" s="16"/>
    </row>
    <row r="61" spans="1:17" x14ac:dyDescent="0.2">
      <c r="A61" s="32" t="s">
        <v>239</v>
      </c>
      <c r="B61" s="50" t="s">
        <v>14</v>
      </c>
      <c r="C61" s="51"/>
      <c r="D61" s="52">
        <f>+D59</f>
        <v>0</v>
      </c>
      <c r="E61" s="53">
        <f>+E59</f>
        <v>0</v>
      </c>
      <c r="F61" s="53">
        <f t="shared" ref="F61:M61" si="12">+F59</f>
        <v>0</v>
      </c>
      <c r="G61" s="53">
        <f t="shared" si="12"/>
        <v>0</v>
      </c>
      <c r="H61" s="53">
        <f t="shared" si="12"/>
        <v>32400</v>
      </c>
      <c r="I61" s="53">
        <f t="shared" si="12"/>
        <v>0</v>
      </c>
      <c r="J61" s="53">
        <f t="shared" si="12"/>
        <v>0</v>
      </c>
      <c r="K61" s="53">
        <f t="shared" si="12"/>
        <v>9885.1200000000008</v>
      </c>
      <c r="L61" s="53">
        <f t="shared" si="12"/>
        <v>0</v>
      </c>
      <c r="M61" s="53">
        <f t="shared" si="12"/>
        <v>42285.119999999995</v>
      </c>
      <c r="N61" s="53">
        <f>+N59</f>
        <v>825.86966207661533</v>
      </c>
      <c r="O61" s="53">
        <f>+O59</f>
        <v>43110.989662076609</v>
      </c>
      <c r="P61" s="17"/>
      <c r="Q61" s="40"/>
    </row>
    <row r="62" spans="1:17" ht="10.8" thickBot="1" x14ac:dyDescent="0.25">
      <c r="A62" s="115"/>
      <c r="B62" s="116"/>
      <c r="C62" s="117"/>
      <c r="D62" s="118"/>
      <c r="E62" s="121"/>
      <c r="F62" s="121"/>
      <c r="G62" s="121"/>
      <c r="H62" s="121"/>
      <c r="I62" s="121"/>
      <c r="J62" s="121"/>
      <c r="K62" s="121"/>
      <c r="L62" s="121"/>
      <c r="M62" s="121"/>
      <c r="N62" s="121"/>
      <c r="O62" s="121"/>
      <c r="P62" s="121"/>
      <c r="Q62" s="120"/>
    </row>
    <row r="63" spans="1:17" ht="11.4" thickTop="1" thickBot="1" x14ac:dyDescent="0.25">
      <c r="Q63" s="16"/>
    </row>
    <row r="64" spans="1:17" ht="10.8" thickBot="1" x14ac:dyDescent="0.25">
      <c r="A64" s="283" t="s">
        <v>10</v>
      </c>
      <c r="B64" s="284" t="s">
        <v>108</v>
      </c>
      <c r="D64" s="556" t="s">
        <v>102</v>
      </c>
      <c r="E64" s="557"/>
      <c r="F64" s="558"/>
      <c r="Q64" s="16"/>
    </row>
    <row r="65" spans="1:17" x14ac:dyDescent="0.2">
      <c r="Q65" s="16"/>
    </row>
    <row r="66" spans="1:17" x14ac:dyDescent="0.2">
      <c r="A66" s="482" t="s">
        <v>89</v>
      </c>
      <c r="B66" s="508" t="s">
        <v>95</v>
      </c>
      <c r="C66" s="483">
        <v>411</v>
      </c>
      <c r="D66" s="6">
        <v>35000</v>
      </c>
      <c r="E66" s="514">
        <f>+D66/P66*(CALC!$A$4)</f>
        <v>181969.02654867258</v>
      </c>
      <c r="F66" s="9">
        <v>23400</v>
      </c>
      <c r="G66" s="28">
        <f>CALC!$A$23*(I66/CEM!I$148)</f>
        <v>0</v>
      </c>
      <c r="H66" s="9">
        <f>60000*(1+CALC!B$14)</f>
        <v>64800.000000000007</v>
      </c>
      <c r="I66" s="9">
        <f>0</f>
        <v>0</v>
      </c>
      <c r="J66" s="28"/>
      <c r="K66" s="522">
        <f>16680*(1+CALC!B$13)</f>
        <v>18681.600000000002</v>
      </c>
      <c r="L66" s="9"/>
      <c r="M66" s="9">
        <f t="shared" ref="M66:M73" si="13">SUM(E66:L66)</f>
        <v>288850.62654867256</v>
      </c>
      <c r="N66" s="9">
        <f>M66/CALC!$A$8*CALC!$A$6</f>
        <v>5641.5346424077979</v>
      </c>
      <c r="O66" s="9">
        <f t="shared" ref="O66:O73" si="14">+M66+N66</f>
        <v>294492.16119108035</v>
      </c>
      <c r="P66" s="23">
        <v>4.5199999999999996</v>
      </c>
      <c r="Q66" s="79"/>
    </row>
    <row r="67" spans="1:17" x14ac:dyDescent="0.2">
      <c r="A67" s="482" t="s">
        <v>89</v>
      </c>
      <c r="B67" s="508" t="s">
        <v>96</v>
      </c>
      <c r="C67" s="483">
        <v>412</v>
      </c>
      <c r="D67" s="6">
        <v>35000</v>
      </c>
      <c r="E67" s="514">
        <f>+D67/P67*(CALC!$A$4)</f>
        <v>181969.02654867258</v>
      </c>
      <c r="F67" s="9">
        <v>23400</v>
      </c>
      <c r="G67" s="28">
        <f>CALC!$A$23*(I67/CEM!I$148)</f>
        <v>1753.0223629741538</v>
      </c>
      <c r="H67" s="9">
        <f>60000*(1+CALC!B$14)</f>
        <v>64800.000000000007</v>
      </c>
      <c r="I67" s="9">
        <f>11881.44</f>
        <v>11881.44</v>
      </c>
      <c r="J67" s="28"/>
      <c r="K67" s="522">
        <f>16680*(1+CALC!B$13)</f>
        <v>18681.600000000002</v>
      </c>
      <c r="L67" s="9"/>
      <c r="M67" s="9">
        <f t="shared" si="13"/>
        <v>302485.08891164674</v>
      </c>
      <c r="N67" s="9">
        <f>M67/CALC!$A$8*CALC!$A$6</f>
        <v>5907.8289990113935</v>
      </c>
      <c r="O67" s="9">
        <f t="shared" si="14"/>
        <v>308392.91791065811</v>
      </c>
      <c r="P67" s="23">
        <v>4.5199999999999996</v>
      </c>
      <c r="Q67" s="79"/>
    </row>
    <row r="68" spans="1:17" x14ac:dyDescent="0.2">
      <c r="A68" s="482" t="s">
        <v>89</v>
      </c>
      <c r="B68" s="508" t="s">
        <v>97</v>
      </c>
      <c r="C68" s="483">
        <v>413</v>
      </c>
      <c r="D68" s="6">
        <v>35000</v>
      </c>
      <c r="E68" s="514">
        <f>+D68/P68*(CALC!$A$4)</f>
        <v>181969.02654867258</v>
      </c>
      <c r="F68" s="9">
        <v>23400</v>
      </c>
      <c r="G68" s="28">
        <f>CALC!$A$23*(I68/CEM!I$148)</f>
        <v>0</v>
      </c>
      <c r="H68" s="9">
        <f>60000*(1+CALC!B$14)</f>
        <v>64800.000000000007</v>
      </c>
      <c r="I68" s="9">
        <f>0</f>
        <v>0</v>
      </c>
      <c r="J68" s="28"/>
      <c r="K68" s="522">
        <f>16680*(1+CALC!B$13)</f>
        <v>18681.600000000002</v>
      </c>
      <c r="L68" s="9"/>
      <c r="M68" s="9">
        <f t="shared" si="13"/>
        <v>288850.62654867256</v>
      </c>
      <c r="N68" s="9">
        <f>M68/CALC!$A$8*CALC!$A$6</f>
        <v>5641.5346424077979</v>
      </c>
      <c r="O68" s="9">
        <f t="shared" si="14"/>
        <v>294492.16119108035</v>
      </c>
      <c r="P68" s="23">
        <v>4.5199999999999996</v>
      </c>
      <c r="Q68" s="79"/>
    </row>
    <row r="69" spans="1:17" x14ac:dyDescent="0.2">
      <c r="A69" s="482" t="s">
        <v>89</v>
      </c>
      <c r="B69" s="508" t="s">
        <v>98</v>
      </c>
      <c r="C69" s="483">
        <v>414</v>
      </c>
      <c r="D69" s="6">
        <v>35000</v>
      </c>
      <c r="E69" s="514">
        <f>+D69/P69*(CALC!$A$4)</f>
        <v>181969.02654867258</v>
      </c>
      <c r="F69" s="9">
        <v>23400</v>
      </c>
      <c r="G69" s="28">
        <f>CALC!$A$23*(I69/CEM!I$148)</f>
        <v>3010.3314954899679</v>
      </c>
      <c r="H69" s="9">
        <f>60000*(1+CALC!B$14)</f>
        <v>64800.000000000007</v>
      </c>
      <c r="I69" s="9">
        <v>20403.09</v>
      </c>
      <c r="J69" s="28"/>
      <c r="K69" s="522">
        <f>16680*(1+CALC!B$13)</f>
        <v>18681.600000000002</v>
      </c>
      <c r="L69" s="9"/>
      <c r="M69" s="9">
        <f t="shared" si="13"/>
        <v>312264.04804416257</v>
      </c>
      <c r="N69" s="9">
        <f>M69/CALC!$A$8*CALC!$A$6</f>
        <v>6098.8216147171515</v>
      </c>
      <c r="O69" s="9">
        <f t="shared" si="14"/>
        <v>318362.8696588797</v>
      </c>
      <c r="P69" s="23">
        <v>4.5199999999999996</v>
      </c>
      <c r="Q69" s="79"/>
    </row>
    <row r="70" spans="1:17" ht="13.2" x14ac:dyDescent="0.25">
      <c r="A70" s="546" t="s">
        <v>89</v>
      </c>
      <c r="B70" s="543" t="s">
        <v>1579</v>
      </c>
      <c r="C70" s="483"/>
      <c r="D70" s="6">
        <v>35000</v>
      </c>
      <c r="E70" s="514">
        <f>+D70/P70*(CALC!$A$4)</f>
        <v>181969.02654867258</v>
      </c>
      <c r="F70" s="9">
        <v>23400</v>
      </c>
      <c r="G70" s="28"/>
      <c r="H70" s="9">
        <f>60000*(1+CALC!B$14)</f>
        <v>64800.000000000007</v>
      </c>
      <c r="I70" s="9"/>
      <c r="J70" s="28"/>
      <c r="K70" s="522">
        <f>16680*(1+CALC!B$13)</f>
        <v>18681.600000000002</v>
      </c>
      <c r="L70" s="9"/>
      <c r="M70" s="9"/>
      <c r="N70" s="9"/>
      <c r="O70" s="9"/>
      <c r="P70" s="23">
        <v>4.5199999999999996</v>
      </c>
      <c r="Q70" s="79"/>
    </row>
    <row r="71" spans="1:17" ht="13.2" x14ac:dyDescent="0.25">
      <c r="A71" s="482" t="s">
        <v>89</v>
      </c>
      <c r="B71" s="543" t="s">
        <v>1565</v>
      </c>
      <c r="C71" s="483"/>
      <c r="D71" s="6">
        <v>35000</v>
      </c>
      <c r="E71" s="514">
        <f>+D71/P71*(CALC!$A$4)</f>
        <v>181969.02654867258</v>
      </c>
      <c r="F71" s="9">
        <v>23400</v>
      </c>
      <c r="G71" s="28"/>
      <c r="H71" s="9">
        <f>60000*(1+CALC!B$14)</f>
        <v>64800.000000000007</v>
      </c>
      <c r="I71" s="9"/>
      <c r="J71" s="28"/>
      <c r="K71" s="522">
        <f>16680*(1+CALC!B$13)</f>
        <v>18681.600000000002</v>
      </c>
      <c r="L71" s="9"/>
      <c r="M71" s="9"/>
      <c r="N71" s="9"/>
      <c r="O71" s="9"/>
      <c r="P71" s="23">
        <v>4.5199999999999996</v>
      </c>
      <c r="Q71" s="79"/>
    </row>
    <row r="72" spans="1:17" x14ac:dyDescent="0.2">
      <c r="A72" s="482" t="s">
        <v>89</v>
      </c>
      <c r="B72" s="508" t="s">
        <v>99</v>
      </c>
      <c r="C72" s="483">
        <v>415</v>
      </c>
      <c r="D72" s="6">
        <v>35000</v>
      </c>
      <c r="E72" s="514">
        <f>+D72/P72*(CALC!$A$4)</f>
        <v>181969.02654867258</v>
      </c>
      <c r="F72" s="9">
        <v>23400</v>
      </c>
      <c r="G72" s="28">
        <f>CALC!$A$23*(I72/CEM!I$148)</f>
        <v>3010.3314954899679</v>
      </c>
      <c r="H72" s="9">
        <f>60000*(1+CALC!B$14)</f>
        <v>64800.000000000007</v>
      </c>
      <c r="I72" s="9">
        <v>20403.09</v>
      </c>
      <c r="J72" s="28"/>
      <c r="K72" s="522">
        <f>16680*(1+CALC!B$13)</f>
        <v>18681.600000000002</v>
      </c>
      <c r="L72" s="9"/>
      <c r="M72" s="9">
        <f t="shared" si="13"/>
        <v>312264.04804416257</v>
      </c>
      <c r="N72" s="9">
        <f>M72/CALC!$A$8*CALC!$A$6</f>
        <v>6098.8216147171515</v>
      </c>
      <c r="O72" s="9">
        <f t="shared" si="14"/>
        <v>318362.8696588797</v>
      </c>
      <c r="P72" s="23">
        <v>4.5199999999999996</v>
      </c>
      <c r="Q72" s="79"/>
    </row>
    <row r="73" spans="1:17" x14ac:dyDescent="0.2">
      <c r="A73" s="482" t="s">
        <v>89</v>
      </c>
      <c r="B73" s="508" t="s">
        <v>100</v>
      </c>
      <c r="C73" s="483">
        <v>416</v>
      </c>
      <c r="D73" s="6">
        <v>35000</v>
      </c>
      <c r="E73" s="22">
        <f>+D73/P73*(CALC!$A$4)</f>
        <v>181969.02654867258</v>
      </c>
      <c r="F73" s="9">
        <v>23400</v>
      </c>
      <c r="G73" s="28">
        <f>CALC!$A$23*(I73/CEM!I$148)</f>
        <v>3010.3314954899679</v>
      </c>
      <c r="H73" s="9">
        <f>60000*(1+CALC!B$14)</f>
        <v>64800.000000000007</v>
      </c>
      <c r="I73" s="9">
        <v>20403.09</v>
      </c>
      <c r="J73" s="28"/>
      <c r="K73" s="522">
        <f>16680*(1+CALC!B$13)</f>
        <v>18681.600000000002</v>
      </c>
      <c r="L73" s="9"/>
      <c r="M73" s="9">
        <f t="shared" si="13"/>
        <v>312264.04804416257</v>
      </c>
      <c r="N73" s="9">
        <f>M73/CALC!$A$8*CALC!$A$6</f>
        <v>6098.8216147171515</v>
      </c>
      <c r="O73" s="9">
        <f t="shared" si="14"/>
        <v>318362.8696588797</v>
      </c>
      <c r="P73" s="23">
        <v>4.5199999999999996</v>
      </c>
      <c r="Q73" s="79"/>
    </row>
    <row r="74" spans="1:17" s="469" customFormat="1" x14ac:dyDescent="0.2">
      <c r="A74" s="482" t="s">
        <v>103</v>
      </c>
      <c r="B74" s="508" t="s">
        <v>150</v>
      </c>
      <c r="C74" s="483">
        <v>418</v>
      </c>
      <c r="D74" s="6">
        <v>35000</v>
      </c>
      <c r="E74" s="514">
        <f>+D74/P74*(CALC!$A$4)</f>
        <v>230392.15686274509</v>
      </c>
      <c r="F74" s="9">
        <v>23400</v>
      </c>
      <c r="G74" s="28">
        <f>CALC!$A$23*(I74/CEM!I$148)</f>
        <v>16201.688152125656</v>
      </c>
      <c r="H74" s="9">
        <f>60000*(1+CALC!B$14)</f>
        <v>64800.000000000007</v>
      </c>
      <c r="I74" s="465">
        <f>878480/8</f>
        <v>109810</v>
      </c>
      <c r="J74" s="465"/>
      <c r="K74" s="522">
        <f>9492*(1+CALC!B$13)</f>
        <v>10631.04</v>
      </c>
      <c r="L74" s="465"/>
      <c r="M74" s="465">
        <f>SUM(E74:L74)</f>
        <v>455234.88501487073</v>
      </c>
      <c r="N74" s="465">
        <f>M74/CALC!$A$8*CALC!$A$6</f>
        <v>8891.181594204254</v>
      </c>
      <c r="O74" s="465">
        <f>+M74+N74</f>
        <v>464126.066609075</v>
      </c>
      <c r="P74" s="467">
        <v>3.57</v>
      </c>
      <c r="Q74" s="472"/>
    </row>
    <row r="75" spans="1:17" s="469" customFormat="1" x14ac:dyDescent="0.2">
      <c r="A75" s="548" t="s">
        <v>1580</v>
      </c>
      <c r="B75" s="508" t="s">
        <v>1581</v>
      </c>
      <c r="C75" s="483"/>
      <c r="D75" s="6">
        <v>35000</v>
      </c>
      <c r="E75" s="514">
        <f>+D75/P75*(CALC!$A$4)</f>
        <v>230392.15686274509</v>
      </c>
      <c r="F75" s="549">
        <v>23400</v>
      </c>
      <c r="G75" s="549"/>
      <c r="H75" s="549">
        <f>60000*(1+CALC!B$14)</f>
        <v>64800.000000000007</v>
      </c>
      <c r="I75" s="549"/>
      <c r="J75" s="549"/>
      <c r="K75" s="549">
        <f>16680*(1+CALC!B$13)</f>
        <v>18681.600000000002</v>
      </c>
      <c r="L75" s="549"/>
      <c r="M75" s="549">
        <f>SUM(E75:L75)</f>
        <v>337273.7568627451</v>
      </c>
      <c r="N75" s="549">
        <f>M75/CALC!$A$8*CALC!$A$6</f>
        <v>6587.2856363549599</v>
      </c>
      <c r="O75" s="549">
        <f>+M75+N75</f>
        <v>343861.04249910003</v>
      </c>
      <c r="P75" s="550">
        <v>3.57</v>
      </c>
      <c r="Q75" s="472"/>
    </row>
    <row r="76" spans="1:17" x14ac:dyDescent="0.2">
      <c r="A76" s="547" t="s">
        <v>1492</v>
      </c>
      <c r="B76" s="508" t="s">
        <v>1466</v>
      </c>
      <c r="C76" s="14"/>
      <c r="D76" s="6">
        <v>1000</v>
      </c>
      <c r="E76" s="514">
        <f>+D76/P76*(CALC!$A$4)</f>
        <v>6582.6330532212887</v>
      </c>
      <c r="F76" s="520">
        <v>23400</v>
      </c>
      <c r="G76" s="28">
        <f>CALC!$A$23*(I76/CEM!I$148)</f>
        <v>16201.688152125656</v>
      </c>
      <c r="H76" s="9">
        <f>60000*(1+CALC!B$14)</f>
        <v>64800.000000000007</v>
      </c>
      <c r="I76" s="465">
        <f>878480/8</f>
        <v>109810</v>
      </c>
      <c r="J76" s="465"/>
      <c r="K76" s="522">
        <f>18414*(1+CALC!B$13)</f>
        <v>20623.68</v>
      </c>
      <c r="L76" s="465"/>
      <c r="M76" s="465">
        <f>SUM(E76:L76)</f>
        <v>241418.00120534695</v>
      </c>
      <c r="N76" s="465">
        <f>M76/CALC!$A$8*CALC!$A$6</f>
        <v>4715.1291772300001</v>
      </c>
      <c r="O76" s="465">
        <f>+M76+N76</f>
        <v>246133.13038257696</v>
      </c>
      <c r="P76" s="467">
        <v>3.57</v>
      </c>
      <c r="Q76" s="16"/>
    </row>
    <row r="77" spans="1:17" s="7" customFormat="1" x14ac:dyDescent="0.2">
      <c r="B77" s="3" t="s">
        <v>14</v>
      </c>
      <c r="C77" s="18"/>
      <c r="D77" s="12">
        <f>SUM(D66:D76)</f>
        <v>351000</v>
      </c>
      <c r="E77" s="10">
        <f t="shared" ref="E77:M77" si="15">SUM(E66:E76)</f>
        <v>1923119.1591680921</v>
      </c>
      <c r="F77" s="10">
        <f t="shared" si="15"/>
        <v>257400</v>
      </c>
      <c r="G77" s="10">
        <f t="shared" si="15"/>
        <v>43187.393153695375</v>
      </c>
      <c r="H77" s="10">
        <f t="shared" si="15"/>
        <v>712800.00000000012</v>
      </c>
      <c r="I77" s="10">
        <f t="shared" si="15"/>
        <v>292710.70999999996</v>
      </c>
      <c r="J77" s="24">
        <f t="shared" si="15"/>
        <v>0</v>
      </c>
      <c r="K77" s="10">
        <f t="shared" si="15"/>
        <v>199389.12000000002</v>
      </c>
      <c r="L77" s="10"/>
      <c r="M77" s="10">
        <f t="shared" si="15"/>
        <v>2850905.1292244424</v>
      </c>
      <c r="N77" s="10">
        <f>M77/CALC!$A$8*CALC!$A$6</f>
        <v>55680.959535767659</v>
      </c>
      <c r="O77" s="10">
        <f>+M77+N77</f>
        <v>2906586.0887602102</v>
      </c>
      <c r="P77" s="25"/>
      <c r="Q77" s="110">
        <f>(+O77/D77)*(1+CALC!$A$3)</f>
        <v>8.2808720477498863</v>
      </c>
    </row>
    <row r="78" spans="1:17" ht="10.8" thickBot="1" x14ac:dyDescent="0.25">
      <c r="Q78" s="16"/>
    </row>
    <row r="79" spans="1:17" ht="10.8" thickBot="1" x14ac:dyDescent="0.25">
      <c r="A79" s="283" t="s">
        <v>10</v>
      </c>
      <c r="B79" s="284" t="s">
        <v>632</v>
      </c>
      <c r="D79" s="556" t="s">
        <v>622</v>
      </c>
      <c r="E79" s="557"/>
      <c r="F79" s="558"/>
      <c r="Q79" s="16"/>
    </row>
    <row r="80" spans="1:17" x14ac:dyDescent="0.2">
      <c r="Q80" s="16"/>
    </row>
    <row r="81" spans="1:17" x14ac:dyDescent="0.2">
      <c r="A81" s="485" t="str">
        <f>+'1-10'!C3</f>
        <v>ISUZU KB200i 2x4 CANOPY  [133]</v>
      </c>
      <c r="B81" s="508" t="str">
        <f>+'1-10'!R3</f>
        <v>CMB 436 L</v>
      </c>
      <c r="C81" s="486">
        <v>602</v>
      </c>
      <c r="D81" s="6">
        <v>27000</v>
      </c>
      <c r="E81" s="514">
        <f>+D81/P81*(CALC!$A$4)</f>
        <v>95127.436281859074</v>
      </c>
      <c r="F81" s="28">
        <v>23400</v>
      </c>
      <c r="G81" s="28">
        <f>CALC!$A$23*(I81/CEM!I$148)</f>
        <v>2426.306449682801</v>
      </c>
      <c r="H81" s="9">
        <f>35000*(1+CALC!B$14)</f>
        <v>37800</v>
      </c>
      <c r="I81" s="28">
        <v>16444.75</v>
      </c>
      <c r="J81" s="28"/>
      <c r="K81" s="522">
        <f>678*(1+CALC!B$13)</f>
        <v>759.36000000000013</v>
      </c>
      <c r="L81" s="28"/>
      <c r="M81" s="28">
        <f>SUM(E81:L81)</f>
        <v>175957.85273154185</v>
      </c>
      <c r="N81" s="28">
        <f>M81/CALC!$A$8*CALC!$A$6</f>
        <v>3436.6285912189751</v>
      </c>
      <c r="O81" s="28">
        <f>+M81+N81</f>
        <v>179394.48132276081</v>
      </c>
      <c r="P81" s="37">
        <v>6.67</v>
      </c>
      <c r="Q81" s="38"/>
    </row>
    <row r="82" spans="1:17" x14ac:dyDescent="0.2">
      <c r="A82" s="485" t="str">
        <f>+'1-10'!C4</f>
        <v>ISUZU KB200i 2x4 MESH [133]</v>
      </c>
      <c r="B82" s="508" t="str">
        <f>+'1-10'!R4</f>
        <v>CMB 455 L</v>
      </c>
      <c r="C82" s="483">
        <v>603</v>
      </c>
      <c r="D82" s="6">
        <v>27000</v>
      </c>
      <c r="E82" s="514">
        <f>+D82/P82*(CALC!$A$4)</f>
        <v>95127.436281859074</v>
      </c>
      <c r="F82" s="28">
        <v>23400</v>
      </c>
      <c r="G82" s="28">
        <f>CALC!$A$23*(I82/CEM!I$148)</f>
        <v>2370.5116186873738</v>
      </c>
      <c r="H82" s="9">
        <f>35000*(1+CALC!B$14)</f>
        <v>37800</v>
      </c>
      <c r="I82" s="28">
        <v>16066.59</v>
      </c>
      <c r="J82" s="28"/>
      <c r="K82" s="522">
        <f>678*(1+CALC!B$13)</f>
        <v>759.36000000000013</v>
      </c>
      <c r="L82" s="28"/>
      <c r="M82" s="28">
        <f t="shared" ref="M82:M86" si="16">SUM(E82:L82)</f>
        <v>175523.89790054644</v>
      </c>
      <c r="N82" s="28">
        <f>M82/CALC!$A$8*CALC!$A$6</f>
        <v>3428.153029848198</v>
      </c>
      <c r="O82" s="28">
        <f t="shared" ref="O82:O86" si="17">+M82+N82</f>
        <v>178952.05093039465</v>
      </c>
      <c r="P82" s="37">
        <v>6.67</v>
      </c>
      <c r="Q82" s="38"/>
    </row>
    <row r="83" spans="1:17" x14ac:dyDescent="0.2">
      <c r="A83" s="485" t="str">
        <f>+'1-10'!C5</f>
        <v>ISUZU KB200i 2x4 MESH [133]</v>
      </c>
      <c r="B83" s="508" t="str">
        <f>+'1-10'!R5</f>
        <v>CMB 576 L</v>
      </c>
      <c r="C83" s="483">
        <v>604</v>
      </c>
      <c r="D83" s="6">
        <v>30600</v>
      </c>
      <c r="E83" s="514">
        <f>+D83/P83*(CALC!$A$4)</f>
        <v>107811.0944527736</v>
      </c>
      <c r="F83" s="28">
        <v>23400</v>
      </c>
      <c r="G83" s="28">
        <f>CALC!$A$23*(I83/CEM!I$148)</f>
        <v>2370.5116186873738</v>
      </c>
      <c r="H83" s="9">
        <f>35000*(1+CALC!B$14)</f>
        <v>37800</v>
      </c>
      <c r="I83" s="28">
        <v>16066.59</v>
      </c>
      <c r="J83" s="28"/>
      <c r="K83" s="522">
        <f>678*(1+CALC!B$13)</f>
        <v>759.36000000000013</v>
      </c>
      <c r="L83" s="28"/>
      <c r="M83" s="28">
        <f t="shared" si="16"/>
        <v>188207.55607146095</v>
      </c>
      <c r="N83" s="28">
        <f>M83/CALC!$A$8*CALC!$A$6</f>
        <v>3675.8772526364614</v>
      </c>
      <c r="O83" s="28">
        <f t="shared" si="17"/>
        <v>191883.43332409739</v>
      </c>
      <c r="P83" s="37">
        <v>6.67</v>
      </c>
      <c r="Q83" s="38"/>
    </row>
    <row r="84" spans="1:17" x14ac:dyDescent="0.2">
      <c r="A84" s="485" t="s">
        <v>589</v>
      </c>
      <c r="B84" s="508" t="s">
        <v>519</v>
      </c>
      <c r="C84" s="483">
        <v>605</v>
      </c>
      <c r="D84" s="6">
        <v>39000</v>
      </c>
      <c r="E84" s="514">
        <f>+D84/P84*(CALC!$A$4)</f>
        <v>137406.29685157421</v>
      </c>
      <c r="F84" s="28">
        <v>23400</v>
      </c>
      <c r="G84" s="28">
        <f>CALC!$A$23*(I84/CEM!I$148)</f>
        <v>2370.5116186873738</v>
      </c>
      <c r="H84" s="9">
        <f>35000*(1+CALC!B$14)</f>
        <v>37800</v>
      </c>
      <c r="I84" s="480">
        <v>16066.59</v>
      </c>
      <c r="J84" s="28"/>
      <c r="K84" s="522">
        <f>678*(1+CALC!B$13)</f>
        <v>759.36000000000013</v>
      </c>
      <c r="L84" s="28"/>
      <c r="M84" s="28">
        <f>SUM(E84:L84)</f>
        <v>217802.75847026156</v>
      </c>
      <c r="N84" s="28">
        <f>M84/CALC!$A$8*CALC!$A$6</f>
        <v>4253.9004391424123</v>
      </c>
      <c r="O84" s="28">
        <f>+M84+N84</f>
        <v>222056.65890940398</v>
      </c>
      <c r="P84" s="37">
        <v>6.67</v>
      </c>
      <c r="Q84" s="38"/>
    </row>
    <row r="85" spans="1:17" x14ac:dyDescent="0.2">
      <c r="A85" s="485" t="str">
        <f>+'1-10'!C7</f>
        <v>ISUZU KB200i 2x4 MESH [133]</v>
      </c>
      <c r="B85" s="508" t="str">
        <f>+'1-10'!R7</f>
        <v>CMB 490 L</v>
      </c>
      <c r="C85" s="483">
        <v>606</v>
      </c>
      <c r="D85" s="6">
        <v>27000</v>
      </c>
      <c r="E85" s="514">
        <f>+D85/P85*(CALC!$A$4)</f>
        <v>95127.436281859074</v>
      </c>
      <c r="F85" s="28">
        <v>23400</v>
      </c>
      <c r="G85" s="28">
        <f>CALC!$A$23*(I85/CEM!I$148)</f>
        <v>2370.5116186873738</v>
      </c>
      <c r="H85" s="9">
        <f>35000*(1+CALC!B$14)</f>
        <v>37800</v>
      </c>
      <c r="I85" s="28">
        <v>16066.59</v>
      </c>
      <c r="J85" s="28"/>
      <c r="K85" s="522">
        <f>678*(1+CALC!B$13)</f>
        <v>759.36000000000013</v>
      </c>
      <c r="L85" s="28"/>
      <c r="M85" s="28">
        <f t="shared" si="16"/>
        <v>175523.89790054644</v>
      </c>
      <c r="N85" s="28">
        <f>M85/CALC!$A$8*CALC!$A$6</f>
        <v>3428.153029848198</v>
      </c>
      <c r="O85" s="28">
        <f t="shared" si="17"/>
        <v>178952.05093039465</v>
      </c>
      <c r="P85" s="37">
        <v>6.67</v>
      </c>
      <c r="Q85" s="38"/>
    </row>
    <row r="86" spans="1:17" x14ac:dyDescent="0.2">
      <c r="A86" s="485" t="str">
        <f>+'1-10'!C8</f>
        <v>ISUZU KB200i 2x4 MESH [133]</v>
      </c>
      <c r="B86" s="508" t="str">
        <f>+'1-10'!R8</f>
        <v>CMB 486 L</v>
      </c>
      <c r="C86" s="483">
        <v>607</v>
      </c>
      <c r="D86" s="6">
        <v>27000</v>
      </c>
      <c r="E86" s="514">
        <f>+D86/P86*(CALC!$A$4)</f>
        <v>95127.436281859074</v>
      </c>
      <c r="F86" s="28">
        <v>23400</v>
      </c>
      <c r="G86" s="28">
        <f>CALC!$A$23*(I86/CEM!I$148)</f>
        <v>2370.5116186873738</v>
      </c>
      <c r="H86" s="9">
        <f>35000*(1+CALC!B$14)</f>
        <v>37800</v>
      </c>
      <c r="I86" s="28">
        <v>16066.59</v>
      </c>
      <c r="J86" s="28"/>
      <c r="K86" s="522">
        <f>678*(1+CALC!B$13)</f>
        <v>759.36000000000013</v>
      </c>
      <c r="L86" s="28"/>
      <c r="M86" s="28">
        <f t="shared" si="16"/>
        <v>175523.89790054644</v>
      </c>
      <c r="N86" s="28">
        <f>M86/CALC!$A$8*CALC!$A$6</f>
        <v>3428.153029848198</v>
      </c>
      <c r="O86" s="28">
        <f t="shared" si="17"/>
        <v>178952.05093039465</v>
      </c>
      <c r="P86" s="37">
        <v>6.67</v>
      </c>
      <c r="Q86" s="38"/>
    </row>
    <row r="87" spans="1:17" x14ac:dyDescent="0.2">
      <c r="A87" s="36"/>
      <c r="B87" s="8"/>
      <c r="C87" s="14"/>
      <c r="D87" s="6"/>
      <c r="E87" s="8"/>
      <c r="F87" s="9"/>
      <c r="G87" s="28"/>
      <c r="H87" s="9"/>
      <c r="I87" s="9"/>
      <c r="J87" s="28"/>
      <c r="K87" s="9"/>
      <c r="L87" s="9"/>
      <c r="M87" s="9"/>
      <c r="N87" s="9"/>
      <c r="O87" s="9"/>
      <c r="P87" s="23"/>
      <c r="Q87" s="16"/>
    </row>
    <row r="88" spans="1:17" s="7" customFormat="1" x14ac:dyDescent="0.2">
      <c r="B88" s="3" t="s">
        <v>14</v>
      </c>
      <c r="C88" s="18"/>
      <c r="D88" s="12">
        <f t="shared" ref="D88:K88" si="18">SUM(D81:D87)</f>
        <v>177600</v>
      </c>
      <c r="E88" s="10">
        <f t="shared" si="18"/>
        <v>625727.13643178414</v>
      </c>
      <c r="F88" s="10">
        <f t="shared" si="18"/>
        <v>140400</v>
      </c>
      <c r="G88" s="24">
        <f t="shared" si="18"/>
        <v>14278.864543119671</v>
      </c>
      <c r="H88" s="10">
        <f t="shared" si="18"/>
        <v>226800</v>
      </c>
      <c r="I88" s="10">
        <f t="shared" si="18"/>
        <v>96777.7</v>
      </c>
      <c r="J88" s="24">
        <f t="shared" si="18"/>
        <v>0</v>
      </c>
      <c r="K88" s="10">
        <f t="shared" si="18"/>
        <v>4556.1600000000008</v>
      </c>
      <c r="L88" s="10">
        <f>+L81+L82+L83+L84+L85+L86</f>
        <v>0</v>
      </c>
      <c r="M88" s="10">
        <f>SUM(M81:M87)</f>
        <v>1108539.8609749037</v>
      </c>
      <c r="N88" s="10">
        <f>M88/CALC!$A$8*CALC!$A$6</f>
        <v>21650.865372542445</v>
      </c>
      <c r="O88" s="10">
        <f>+M88+N88</f>
        <v>1130190.7263474462</v>
      </c>
      <c r="P88" s="25"/>
      <c r="Q88" s="110">
        <f>(+O88/D88)*(1+CALC!$A$3)</f>
        <v>6.3636865222266117</v>
      </c>
    </row>
    <row r="89" spans="1:17" ht="10.8" thickBot="1" x14ac:dyDescent="0.25">
      <c r="Q89" s="16"/>
    </row>
    <row r="90" spans="1:17" ht="10.8" thickBot="1" x14ac:dyDescent="0.25">
      <c r="A90" s="283" t="s">
        <v>10</v>
      </c>
      <c r="B90" s="284" t="s">
        <v>633</v>
      </c>
      <c r="D90" s="556" t="s">
        <v>580</v>
      </c>
      <c r="E90" s="557"/>
      <c r="F90" s="558"/>
      <c r="Q90" s="16"/>
    </row>
    <row r="91" spans="1:17" x14ac:dyDescent="0.2">
      <c r="Q91" s="16"/>
    </row>
    <row r="92" spans="1:17" x14ac:dyDescent="0.2">
      <c r="A92" s="482" t="str">
        <f>+'1-10'!C77</f>
        <v>HINO 300 [133]</v>
      </c>
      <c r="B92" s="508" t="str">
        <f>+'1-10'!R77</f>
        <v>CML 496 L</v>
      </c>
      <c r="C92" s="483">
        <v>676</v>
      </c>
      <c r="D92" s="6">
        <v>35000</v>
      </c>
      <c r="E92" s="514">
        <f>+D92/P92*(CALC!$A$4)</f>
        <v>411250</v>
      </c>
      <c r="F92" s="28">
        <v>23400</v>
      </c>
      <c r="G92" s="28">
        <f>CALC!$A$23*(I92/CEM!I$148)</f>
        <v>3825.7451534018223</v>
      </c>
      <c r="H92" s="28">
        <f>70000*(1+CALC!B$14)</f>
        <v>75600</v>
      </c>
      <c r="I92" s="28">
        <v>25929.71</v>
      </c>
      <c r="J92" s="28"/>
      <c r="K92" s="522">
        <f>2460*(1+CALC!B$13)</f>
        <v>2755.2000000000003</v>
      </c>
      <c r="L92" s="28"/>
      <c r="M92" s="28">
        <f>SUM(E92:L92)</f>
        <v>542760.65515340178</v>
      </c>
      <c r="N92" s="24">
        <f>M92/CALC!$A$8*CALC!$A$6</f>
        <v>10600.645306434564</v>
      </c>
      <c r="O92" s="28">
        <f>+M92+N92</f>
        <v>553361.30045983638</v>
      </c>
      <c r="P92" s="37">
        <v>2</v>
      </c>
      <c r="Q92" s="38"/>
    </row>
    <row r="93" spans="1:17" x14ac:dyDescent="0.2">
      <c r="A93" s="482" t="str">
        <f>+'1-10'!C78</f>
        <v>HINO 300 [133]</v>
      </c>
      <c r="B93" s="508" t="str">
        <f>+'1-10'!R78</f>
        <v>CMN 332 L</v>
      </c>
      <c r="C93" s="483">
        <v>677</v>
      </c>
      <c r="D93" s="6">
        <v>35000</v>
      </c>
      <c r="E93" s="514">
        <f>+D93/P93*(CALC!$A$4)</f>
        <v>411250</v>
      </c>
      <c r="F93" s="28">
        <v>23400</v>
      </c>
      <c r="G93" s="28">
        <f>CALC!$A$23*(I93/CEM!I$148)</f>
        <v>6425.2345328651718</v>
      </c>
      <c r="H93" s="28">
        <f>70000*(1+CALC!B$14)</f>
        <v>75600</v>
      </c>
      <c r="I93" s="28">
        <v>43548.24</v>
      </c>
      <c r="J93" s="28"/>
      <c r="K93" s="522">
        <f>2460*(1+CALC!B$13)</f>
        <v>2755.2000000000003</v>
      </c>
      <c r="L93" s="28"/>
      <c r="M93" s="28">
        <f>SUM(E93:L93)</f>
        <v>562978.67453286517</v>
      </c>
      <c r="N93" s="28">
        <f>M93/CALC!$A$8*CALC!$A$6</f>
        <v>10995.522956841512</v>
      </c>
      <c r="O93" s="28">
        <f>+M93+N93</f>
        <v>573974.19748970668</v>
      </c>
      <c r="P93" s="37">
        <v>2</v>
      </c>
      <c r="Q93" s="38"/>
    </row>
    <row r="94" spans="1:17" x14ac:dyDescent="0.2">
      <c r="A94" s="482" t="str">
        <f>+'1-10'!C79</f>
        <v>HINO 300 [133]</v>
      </c>
      <c r="B94" s="508" t="str">
        <f>+'1-10'!R79</f>
        <v>CML 494 L</v>
      </c>
      <c r="C94" s="483">
        <v>678</v>
      </c>
      <c r="D94" s="6">
        <v>35000</v>
      </c>
      <c r="E94" s="514">
        <f>+D94/P94*(CALC!$A$4)</f>
        <v>411250</v>
      </c>
      <c r="F94" s="28">
        <v>23400</v>
      </c>
      <c r="G94" s="28">
        <f>CALC!$A$23*(I94/CEM!I$148)</f>
        <v>6425.2345328651718</v>
      </c>
      <c r="H94" s="28">
        <f>70000*(1+CALC!B$14)</f>
        <v>75600</v>
      </c>
      <c r="I94" s="28">
        <v>43548.24</v>
      </c>
      <c r="J94" s="28"/>
      <c r="K94" s="522">
        <f>2460*(1+CALC!B$13)</f>
        <v>2755.2000000000003</v>
      </c>
      <c r="L94" s="28"/>
      <c r="M94" s="28">
        <f>SUM(E94:L94)</f>
        <v>562978.67453286517</v>
      </c>
      <c r="N94" s="28">
        <f>M94/CALC!$A$8*CALC!$A$6</f>
        <v>10995.522956841512</v>
      </c>
      <c r="O94" s="28">
        <f>+M94+N94</f>
        <v>573974.19748970668</v>
      </c>
      <c r="P94" s="37">
        <v>2</v>
      </c>
      <c r="Q94" s="38"/>
    </row>
    <row r="95" spans="1:17" x14ac:dyDescent="0.2">
      <c r="A95" s="529" t="s">
        <v>1493</v>
      </c>
      <c r="B95" s="508" t="s">
        <v>1494</v>
      </c>
      <c r="C95" s="528"/>
      <c r="D95" s="6">
        <v>35000</v>
      </c>
      <c r="E95" s="514">
        <f>+D95/P95*(CALC!$A$4)</f>
        <v>411250</v>
      </c>
      <c r="F95" s="28">
        <v>23400</v>
      </c>
      <c r="G95" s="28">
        <f>CALC!$A$23*(I95/CEM!I$148)</f>
        <v>6425.2345328651718</v>
      </c>
      <c r="H95" s="28">
        <f>35000*(1+CALC!B$14)</f>
        <v>37800</v>
      </c>
      <c r="I95" s="28">
        <v>43548.24</v>
      </c>
      <c r="J95" s="28"/>
      <c r="K95" s="522">
        <f>3324*(1+CALC!B$13)</f>
        <v>3722.8800000000006</v>
      </c>
      <c r="L95" s="28"/>
      <c r="M95" s="28">
        <f>SUM(E95:L95)</f>
        <v>526146.35453286511</v>
      </c>
      <c r="N95" s="28">
        <f>M95/CALC!$A$8*CALC!$A$6</f>
        <v>10276.151800465515</v>
      </c>
      <c r="O95" s="28">
        <f>+M95+N95</f>
        <v>536422.50633333065</v>
      </c>
      <c r="P95" s="37">
        <v>2</v>
      </c>
      <c r="Q95" s="38"/>
    </row>
    <row r="96" spans="1:17" s="7" customFormat="1" x14ac:dyDescent="0.2">
      <c r="B96" s="3" t="s">
        <v>14</v>
      </c>
      <c r="C96" s="18"/>
      <c r="D96" s="12">
        <f>SUM(D92:D95)</f>
        <v>140000</v>
      </c>
      <c r="E96" s="12">
        <f t="shared" ref="E96:O96" si="19">SUM(E92:E95)</f>
        <v>1645000</v>
      </c>
      <c r="F96" s="12">
        <f t="shared" si="19"/>
        <v>93600</v>
      </c>
      <c r="G96" s="12">
        <f t="shared" si="19"/>
        <v>23101.448751997337</v>
      </c>
      <c r="H96" s="12">
        <f t="shared" si="19"/>
        <v>264600</v>
      </c>
      <c r="I96" s="12">
        <f t="shared" si="19"/>
        <v>156574.43</v>
      </c>
      <c r="J96" s="12">
        <f t="shared" si="19"/>
        <v>0</v>
      </c>
      <c r="K96" s="12">
        <f t="shared" si="19"/>
        <v>11988.480000000001</v>
      </c>
      <c r="L96" s="12">
        <f t="shared" si="19"/>
        <v>0</v>
      </c>
      <c r="M96" s="12">
        <f t="shared" si="19"/>
        <v>2194864.3587519974</v>
      </c>
      <c r="N96" s="12">
        <f t="shared" si="19"/>
        <v>42867.84302058311</v>
      </c>
      <c r="O96" s="12">
        <f t="shared" si="19"/>
        <v>2237732.2017725804</v>
      </c>
      <c r="P96" s="25"/>
      <c r="Q96" s="110">
        <f>(+O96/D96)*(1+CALC!$A$3)</f>
        <v>15.983801441232718</v>
      </c>
    </row>
    <row r="97" spans="1:17" ht="10.8" thickBot="1" x14ac:dyDescent="0.25">
      <c r="Q97" s="16"/>
    </row>
    <row r="98" spans="1:17" ht="10.8" thickBot="1" x14ac:dyDescent="0.25">
      <c r="A98" s="283" t="s">
        <v>10</v>
      </c>
      <c r="B98" s="284" t="s">
        <v>634</v>
      </c>
      <c r="D98" s="556" t="s">
        <v>627</v>
      </c>
      <c r="E98" s="557"/>
      <c r="F98" s="558"/>
      <c r="Q98" s="16"/>
    </row>
    <row r="99" spans="1:17" x14ac:dyDescent="0.2">
      <c r="Q99" s="16"/>
    </row>
    <row r="100" spans="1:17" x14ac:dyDescent="0.2">
      <c r="A100" s="487" t="str">
        <f>+'1-10'!C89</f>
        <v>ISUZU  FVZ 1600 COMPACTOR [133]</v>
      </c>
      <c r="B100" s="508" t="str">
        <f>+'1-10'!R89</f>
        <v>CNT 192 L</v>
      </c>
      <c r="C100" s="483">
        <v>688</v>
      </c>
      <c r="D100" s="6">
        <v>30000</v>
      </c>
      <c r="E100" s="514">
        <f>+D100/P100*(CALC!$A$4)</f>
        <v>587500</v>
      </c>
      <c r="F100" s="28">
        <v>23400</v>
      </c>
      <c r="G100" s="28">
        <f>CALC!$A$23*(I100/CEM!I$148)</f>
        <v>19857.061068391478</v>
      </c>
      <c r="H100" s="28">
        <f>120000*(1+CALC!B$14)</f>
        <v>129600.00000000001</v>
      </c>
      <c r="I100" s="28">
        <v>134584.98000000001</v>
      </c>
      <c r="J100" s="28"/>
      <c r="K100" s="522">
        <f>38250*(1+CALC!B$13)</f>
        <v>42840.000000000007</v>
      </c>
      <c r="L100" s="28"/>
      <c r="M100" s="28">
        <f>SUM(E100:L100)</f>
        <v>937782.04106839141</v>
      </c>
      <c r="N100" s="24">
        <f>M100/CALC!$A$8*CALC!$A$6</f>
        <v>18315.798497406911</v>
      </c>
      <c r="O100" s="28">
        <f>+M100+N100</f>
        <v>956097.83956579829</v>
      </c>
      <c r="P100" s="37">
        <v>1.2</v>
      </c>
      <c r="Q100" s="38"/>
    </row>
    <row r="101" spans="1:17" x14ac:dyDescent="0.2">
      <c r="A101" s="8"/>
      <c r="B101" s="8"/>
      <c r="C101" s="14"/>
      <c r="D101" s="6"/>
      <c r="E101" s="47"/>
      <c r="F101" s="28"/>
      <c r="G101" s="28"/>
      <c r="H101" s="28"/>
      <c r="I101" s="28"/>
      <c r="J101" s="28"/>
      <c r="K101" s="28"/>
      <c r="L101" s="28"/>
      <c r="M101" s="28"/>
      <c r="N101" s="24"/>
      <c r="O101" s="28"/>
      <c r="P101" s="37"/>
      <c r="Q101" s="38"/>
    </row>
    <row r="102" spans="1:17" s="7" customFormat="1" x14ac:dyDescent="0.2">
      <c r="B102" s="3" t="s">
        <v>14</v>
      </c>
      <c r="C102" s="18"/>
      <c r="D102" s="12">
        <f t="shared" ref="D102:K102" si="20">SUM(D100:D101)</f>
        <v>30000</v>
      </c>
      <c r="E102" s="10">
        <f t="shared" si="20"/>
        <v>587500</v>
      </c>
      <c r="F102" s="10">
        <f t="shared" si="20"/>
        <v>23400</v>
      </c>
      <c r="G102" s="10">
        <f t="shared" si="20"/>
        <v>19857.061068391478</v>
      </c>
      <c r="H102" s="10">
        <f t="shared" si="20"/>
        <v>129600.00000000001</v>
      </c>
      <c r="I102" s="10">
        <f t="shared" si="20"/>
        <v>134584.98000000001</v>
      </c>
      <c r="J102" s="24">
        <f t="shared" si="20"/>
        <v>0</v>
      </c>
      <c r="K102" s="10">
        <f t="shared" si="20"/>
        <v>42840.000000000007</v>
      </c>
      <c r="L102" s="10">
        <f>+L100</f>
        <v>0</v>
      </c>
      <c r="M102" s="10">
        <f>SUM(M100:M101)</f>
        <v>937782.04106839141</v>
      </c>
      <c r="N102" s="10">
        <f>M102/CALC!$A$8*CALC!$A$6</f>
        <v>18315.798497406911</v>
      </c>
      <c r="O102" s="10">
        <f>+M102+N102</f>
        <v>956097.83956579829</v>
      </c>
      <c r="P102" s="25"/>
      <c r="Q102" s="110">
        <f>(+O102/D102)*(1+CALC!$A$3)</f>
        <v>31.869927985526608</v>
      </c>
    </row>
    <row r="103" spans="1:17" x14ac:dyDescent="0.2">
      <c r="Q103" s="16"/>
    </row>
    <row r="104" spans="1:17" s="7" customFormat="1" x14ac:dyDescent="0.2">
      <c r="A104" s="32" t="s">
        <v>42</v>
      </c>
      <c r="B104" s="50" t="s">
        <v>14</v>
      </c>
      <c r="C104" s="51"/>
      <c r="D104" s="52">
        <f t="shared" ref="D104:O104" si="21">+D77+D88+D96+D102</f>
        <v>698600</v>
      </c>
      <c r="E104" s="54">
        <f t="shared" si="21"/>
        <v>4781346.295599876</v>
      </c>
      <c r="F104" s="54">
        <f t="shared" si="21"/>
        <v>514800</v>
      </c>
      <c r="G104" s="54">
        <f t="shared" si="21"/>
        <v>100424.76751720387</v>
      </c>
      <c r="H104" s="54">
        <f t="shared" si="21"/>
        <v>1333800</v>
      </c>
      <c r="I104" s="54">
        <f t="shared" si="21"/>
        <v>680647.82</v>
      </c>
      <c r="J104" s="54">
        <f t="shared" si="21"/>
        <v>0</v>
      </c>
      <c r="K104" s="54">
        <f t="shared" si="21"/>
        <v>258773.76000000004</v>
      </c>
      <c r="L104" s="54">
        <f t="shared" si="21"/>
        <v>0</v>
      </c>
      <c r="M104" s="54">
        <f t="shared" si="21"/>
        <v>7092091.3900197353</v>
      </c>
      <c r="N104" s="54">
        <f t="shared" si="21"/>
        <v>138515.46642630012</v>
      </c>
      <c r="O104" s="54">
        <f t="shared" si="21"/>
        <v>7230606.8564460352</v>
      </c>
      <c r="P104" s="53"/>
      <c r="Q104" s="40"/>
    </row>
    <row r="105" spans="1:17" x14ac:dyDescent="0.2">
      <c r="P105" s="5"/>
      <c r="Q105" s="38"/>
    </row>
    <row r="106" spans="1:17" s="7" customFormat="1" x14ac:dyDescent="0.2">
      <c r="A106" s="7" t="s">
        <v>30</v>
      </c>
      <c r="B106" s="62" t="s">
        <v>14</v>
      </c>
      <c r="C106" s="63"/>
      <c r="D106" s="64">
        <f t="shared" ref="D106:O106" si="22">+D51+D61+D104</f>
        <v>775400</v>
      </c>
      <c r="E106" s="65">
        <f t="shared" si="22"/>
        <v>5519659.4648144692</v>
      </c>
      <c r="F106" s="65">
        <f t="shared" si="22"/>
        <v>649800</v>
      </c>
      <c r="G106" s="65">
        <f t="shared" si="22"/>
        <v>118813.87242480533</v>
      </c>
      <c r="H106" s="65">
        <f t="shared" si="22"/>
        <v>1679125.68</v>
      </c>
      <c r="I106" s="65">
        <f t="shared" si="22"/>
        <v>805283.45</v>
      </c>
      <c r="J106" s="65">
        <f t="shared" si="22"/>
        <v>0</v>
      </c>
      <c r="K106" s="65">
        <f t="shared" si="22"/>
        <v>281331.60000000003</v>
      </c>
      <c r="L106" s="65">
        <f t="shared" si="22"/>
        <v>0</v>
      </c>
      <c r="M106" s="65">
        <f t="shared" si="22"/>
        <v>8476312.8141419291</v>
      </c>
      <c r="N106" s="65">
        <f t="shared" si="22"/>
        <v>162854.91495729421</v>
      </c>
      <c r="O106" s="65">
        <f t="shared" si="22"/>
        <v>8639167.7290992253</v>
      </c>
      <c r="P106" s="17"/>
      <c r="Q106" s="40"/>
    </row>
    <row r="107" spans="1:17" x14ac:dyDescent="0.2">
      <c r="P107" s="5"/>
      <c r="Q107" s="38"/>
    </row>
    <row r="108" spans="1:17" x14ac:dyDescent="0.2">
      <c r="Q108" s="16"/>
    </row>
    <row r="109" spans="1:17" x14ac:dyDescent="0.2">
      <c r="D109" s="13">
        <f>+D9+D16+D23+D29+D40+D49+D59+D77+D88+D96+D102</f>
        <v>775400</v>
      </c>
      <c r="E109" s="13">
        <f t="shared" ref="E109:O109" si="23">+E9+E16+E23+E29+E40+E49+E59+E77+E88+E96+E102</f>
        <v>5519659.4648144701</v>
      </c>
      <c r="F109" s="13">
        <f t="shared" si="23"/>
        <v>649800</v>
      </c>
      <c r="G109" s="13">
        <f t="shared" si="23"/>
        <v>118813.8724248053</v>
      </c>
      <c r="H109" s="13">
        <f t="shared" si="23"/>
        <v>1679125.6800000002</v>
      </c>
      <c r="I109" s="13">
        <f t="shared" si="23"/>
        <v>805283.45</v>
      </c>
      <c r="J109" s="13">
        <f t="shared" si="23"/>
        <v>0</v>
      </c>
      <c r="K109" s="13">
        <f t="shared" si="23"/>
        <v>281331.60000000003</v>
      </c>
      <c r="L109" s="13">
        <f t="shared" si="23"/>
        <v>0</v>
      </c>
      <c r="M109" s="13">
        <f t="shared" si="23"/>
        <v>8476312.814141931</v>
      </c>
      <c r="N109" s="13">
        <f t="shared" si="23"/>
        <v>162854.91495729421</v>
      </c>
      <c r="O109" s="13">
        <f t="shared" si="23"/>
        <v>8639167.7290992253</v>
      </c>
      <c r="P109" s="13"/>
      <c r="Q109" s="13"/>
    </row>
    <row r="110" spans="1:17" x14ac:dyDescent="0.2">
      <c r="I110" s="48">
        <f>-I77</f>
        <v>-292710.70999999996</v>
      </c>
      <c r="Q110" s="16"/>
    </row>
    <row r="111" spans="1:17" x14ac:dyDescent="0.2">
      <c r="Q111" s="16"/>
    </row>
    <row r="112" spans="1:17" x14ac:dyDescent="0.2">
      <c r="Q112" s="16"/>
    </row>
    <row r="113" spans="1:17" x14ac:dyDescent="0.2">
      <c r="Q113" s="16"/>
    </row>
    <row r="114" spans="1:17" x14ac:dyDescent="0.2">
      <c r="A114" s="482">
        <f>+'1-10'!C155</f>
        <v>0</v>
      </c>
      <c r="B114" s="508">
        <f>+'1-10'!R155</f>
        <v>0</v>
      </c>
      <c r="C114" s="483">
        <v>653</v>
      </c>
      <c r="D114" s="6">
        <v>20000</v>
      </c>
      <c r="E114" s="514">
        <f>+D114/P114*(CALC!$A$4)</f>
        <v>67142.857142857145</v>
      </c>
      <c r="F114" s="28">
        <v>23400</v>
      </c>
      <c r="G114" s="28">
        <f>CALC!$A$23*(I114/CEM!I$148)</f>
        <v>3223.7139695190208</v>
      </c>
      <c r="H114" s="28">
        <f>35000*(1+CALC!B115)</f>
        <v>35000</v>
      </c>
      <c r="I114" s="28">
        <f>21849.33</f>
        <v>21849.33</v>
      </c>
      <c r="J114" s="28"/>
      <c r="K114" s="481">
        <f>1110*(1+CALC!B$13)</f>
        <v>1243.2</v>
      </c>
      <c r="L114" s="28"/>
      <c r="M114" s="28">
        <f>SUM(E114:L114)</f>
        <v>151859.1011123762</v>
      </c>
      <c r="N114" s="28">
        <f>M114/CALC!$A$8*CALC!$A$6</f>
        <v>2965.9564527412172</v>
      </c>
      <c r="O114" s="28">
        <f>+M114+N114</f>
        <v>154825.05756511743</v>
      </c>
      <c r="P114" s="37">
        <v>7</v>
      </c>
      <c r="Q114" s="38"/>
    </row>
    <row r="115" spans="1:17" x14ac:dyDescent="0.2">
      <c r="A115" s="513">
        <f>+'1-10'!C118</f>
        <v>0</v>
      </c>
      <c r="B115" s="508">
        <f>+'1-10'!R118</f>
        <v>0</v>
      </c>
      <c r="C115" s="509">
        <v>611</v>
      </c>
      <c r="D115" s="6">
        <v>5000</v>
      </c>
      <c r="E115" s="517">
        <f>+D115/P115*(CALC!$A$4)</f>
        <v>17616.191904047977</v>
      </c>
      <c r="F115" s="28">
        <v>23400</v>
      </c>
      <c r="G115" s="28">
        <f>CALC!$A$23*(I115/CEM!I$148)</f>
        <v>2271.2521186022946</v>
      </c>
      <c r="H115" s="28">
        <f>35000*(1+CALC!B120)</f>
        <v>35000</v>
      </c>
      <c r="I115" s="481">
        <v>15393.84</v>
      </c>
      <c r="J115" s="28"/>
      <c r="K115" s="522">
        <f>678*(1+CALC!B$13)</f>
        <v>759.36000000000013</v>
      </c>
      <c r="L115" s="28"/>
      <c r="M115" s="28">
        <f>SUM(E115:L115)</f>
        <v>94440.644022650275</v>
      </c>
      <c r="N115" s="24">
        <f>M115/CALC!$A$8*CALC!$A$6</f>
        <v>1844.5179478096338</v>
      </c>
      <c r="O115" s="28">
        <f>+M115+N115</f>
        <v>96285.161970459914</v>
      </c>
      <c r="P115" s="37">
        <v>6.67</v>
      </c>
      <c r="Q115" s="38"/>
    </row>
    <row r="116" spans="1:17" x14ac:dyDescent="0.2">
      <c r="A116" s="545">
        <f>+'1-10'!C115</f>
        <v>0</v>
      </c>
      <c r="B116" s="541">
        <f>+'1-10'!R115</f>
        <v>0</v>
      </c>
      <c r="C116" s="489" t="s">
        <v>222</v>
      </c>
      <c r="D116" s="6">
        <v>20000</v>
      </c>
      <c r="E116" s="47">
        <f>+D116/P116*(CALC!$A$4)</f>
        <v>51705.170517051702</v>
      </c>
      <c r="F116" s="28">
        <v>23400</v>
      </c>
      <c r="G116" s="28">
        <f>CALC!$A$23*(I116/CEM!I$148)</f>
        <v>3526.7597520530198</v>
      </c>
      <c r="H116" s="28">
        <f>58000*(1+CALC!B$14)</f>
        <v>62640.000000000007</v>
      </c>
      <c r="I116" s="28">
        <v>23903.279999999999</v>
      </c>
      <c r="J116" s="28"/>
      <c r="K116" s="523">
        <f>678*(1+CALC!B$13)</f>
        <v>759.36000000000013</v>
      </c>
      <c r="L116" s="28"/>
      <c r="M116" s="28">
        <f t="shared" ref="M116" si="24">SUM(E116:L116)</f>
        <v>165934.57026910473</v>
      </c>
      <c r="N116" s="28">
        <f>M116/CALC!$A$8*CALC!$A$6</f>
        <v>3240.8641024306876</v>
      </c>
      <c r="O116" s="28">
        <f t="shared" ref="O116" si="25">+M116+N116</f>
        <v>169175.43437153543</v>
      </c>
      <c r="P116" s="37">
        <v>9.09</v>
      </c>
      <c r="Q116" s="38"/>
    </row>
    <row r="117" spans="1:17" x14ac:dyDescent="0.2">
      <c r="E117" s="48">
        <f>SUM(E114:E116)</f>
        <v>136464.21956395684</v>
      </c>
      <c r="F117" s="48">
        <f t="shared" ref="F117:M117" si="26">SUM(F114:F116)</f>
        <v>70200</v>
      </c>
      <c r="G117" s="48">
        <f t="shared" si="26"/>
        <v>9021.7258401743347</v>
      </c>
      <c r="H117" s="48">
        <f t="shared" si="26"/>
        <v>132640</v>
      </c>
      <c r="I117" s="48">
        <f t="shared" si="26"/>
        <v>61146.45</v>
      </c>
      <c r="J117" s="48">
        <f t="shared" si="26"/>
        <v>0</v>
      </c>
      <c r="K117" s="48">
        <f t="shared" si="26"/>
        <v>2761.92</v>
      </c>
      <c r="L117" s="48">
        <f t="shared" si="26"/>
        <v>0</v>
      </c>
      <c r="M117" s="48">
        <f t="shared" si="26"/>
        <v>412234.31540413119</v>
      </c>
      <c r="Q117" s="16"/>
    </row>
    <row r="118" spans="1:17" x14ac:dyDescent="0.2">
      <c r="Q118" s="16"/>
    </row>
    <row r="119" spans="1:17" x14ac:dyDescent="0.2">
      <c r="Q119" s="16"/>
    </row>
    <row r="120" spans="1:17" x14ac:dyDescent="0.2">
      <c r="Q120" s="16"/>
    </row>
    <row r="121" spans="1:17" x14ac:dyDescent="0.2">
      <c r="Q121" s="16"/>
    </row>
    <row r="122" spans="1:17" x14ac:dyDescent="0.2">
      <c r="Q122" s="16"/>
    </row>
    <row r="123" spans="1:17" x14ac:dyDescent="0.2">
      <c r="Q123" s="16"/>
    </row>
    <row r="124" spans="1:17" x14ac:dyDescent="0.2">
      <c r="Q124" s="16"/>
    </row>
    <row r="125" spans="1:17" x14ac:dyDescent="0.2">
      <c r="Q125" s="16"/>
    </row>
    <row r="126" spans="1:17" x14ac:dyDescent="0.2">
      <c r="Q126" s="16"/>
    </row>
    <row r="127" spans="1:17" x14ac:dyDescent="0.2">
      <c r="Q127" s="16"/>
    </row>
    <row r="128" spans="1:17" x14ac:dyDescent="0.2">
      <c r="Q128" s="16"/>
    </row>
    <row r="129" spans="17:17" x14ac:dyDescent="0.2">
      <c r="Q129" s="16"/>
    </row>
    <row r="130" spans="17:17" x14ac:dyDescent="0.2">
      <c r="Q130" s="16"/>
    </row>
    <row r="131" spans="17:17" x14ac:dyDescent="0.2">
      <c r="Q131" s="16"/>
    </row>
    <row r="132" spans="17:17" x14ac:dyDescent="0.2">
      <c r="Q132" s="16"/>
    </row>
    <row r="133" spans="17:17" x14ac:dyDescent="0.2">
      <c r="Q133" s="16"/>
    </row>
    <row r="134" spans="17:17" x14ac:dyDescent="0.2">
      <c r="Q134" s="16"/>
    </row>
    <row r="135" spans="17:17" x14ac:dyDescent="0.2">
      <c r="Q135" s="16"/>
    </row>
    <row r="136" spans="17:17" x14ac:dyDescent="0.2">
      <c r="Q136" s="16"/>
    </row>
    <row r="137" spans="17:17" x14ac:dyDescent="0.2">
      <c r="Q137" s="16"/>
    </row>
    <row r="138" spans="17:17" x14ac:dyDescent="0.2">
      <c r="Q138" s="16"/>
    </row>
    <row r="139" spans="17:17" x14ac:dyDescent="0.2">
      <c r="Q139" s="16"/>
    </row>
    <row r="140" spans="17:17" x14ac:dyDescent="0.2">
      <c r="Q140" s="16"/>
    </row>
    <row r="141" spans="17:17" x14ac:dyDescent="0.2">
      <c r="Q141" s="16"/>
    </row>
    <row r="142" spans="17:17" x14ac:dyDescent="0.2">
      <c r="Q142" s="16"/>
    </row>
    <row r="143" spans="17:17" x14ac:dyDescent="0.2">
      <c r="Q143" s="16"/>
    </row>
    <row r="144" spans="17:17" x14ac:dyDescent="0.2">
      <c r="Q144" s="16"/>
    </row>
    <row r="145" spans="17:17" x14ac:dyDescent="0.2">
      <c r="Q145" s="16"/>
    </row>
    <row r="146" spans="17:17" x14ac:dyDescent="0.2">
      <c r="Q146" s="16"/>
    </row>
    <row r="147" spans="17:17" x14ac:dyDescent="0.2">
      <c r="Q147" s="16"/>
    </row>
    <row r="148" spans="17:17" x14ac:dyDescent="0.2">
      <c r="Q148" s="16"/>
    </row>
    <row r="149" spans="17:17" x14ac:dyDescent="0.2">
      <c r="Q149" s="16"/>
    </row>
    <row r="150" spans="17:17" x14ac:dyDescent="0.2">
      <c r="Q150" s="16"/>
    </row>
    <row r="151" spans="17:17" x14ac:dyDescent="0.2">
      <c r="Q151" s="16"/>
    </row>
    <row r="152" spans="17:17" x14ac:dyDescent="0.2">
      <c r="Q152" s="16"/>
    </row>
    <row r="153" spans="17:17" x14ac:dyDescent="0.2">
      <c r="Q153" s="16"/>
    </row>
    <row r="154" spans="17:17" x14ac:dyDescent="0.2">
      <c r="Q154" s="16"/>
    </row>
    <row r="155" spans="17:17" x14ac:dyDescent="0.2">
      <c r="Q155" s="16"/>
    </row>
    <row r="156" spans="17:17" x14ac:dyDescent="0.2">
      <c r="Q156" s="16"/>
    </row>
    <row r="157" spans="17:17" x14ac:dyDescent="0.2">
      <c r="Q157" s="16"/>
    </row>
    <row r="158" spans="17:17" x14ac:dyDescent="0.2">
      <c r="Q158" s="16"/>
    </row>
    <row r="159" spans="17:17" x14ac:dyDescent="0.2">
      <c r="Q159" s="16"/>
    </row>
    <row r="160" spans="17:17" x14ac:dyDescent="0.2">
      <c r="Q160" s="16"/>
    </row>
    <row r="161" spans="17:17" x14ac:dyDescent="0.2">
      <c r="Q161" s="16"/>
    </row>
    <row r="162" spans="17:17" x14ac:dyDescent="0.2">
      <c r="Q162" s="16"/>
    </row>
    <row r="163" spans="17:17" x14ac:dyDescent="0.2">
      <c r="Q163" s="16"/>
    </row>
    <row r="164" spans="17:17" x14ac:dyDescent="0.2">
      <c r="Q164" s="16"/>
    </row>
    <row r="165" spans="17:17" x14ac:dyDescent="0.2">
      <c r="Q165" s="16"/>
    </row>
    <row r="166" spans="17:17" x14ac:dyDescent="0.2">
      <c r="Q166" s="16"/>
    </row>
    <row r="167" spans="17:17" x14ac:dyDescent="0.2">
      <c r="Q167" s="16"/>
    </row>
    <row r="168" spans="17:17" x14ac:dyDescent="0.2">
      <c r="Q168" s="16"/>
    </row>
    <row r="169" spans="17:17" x14ac:dyDescent="0.2">
      <c r="Q169" s="16"/>
    </row>
    <row r="170" spans="17:17" x14ac:dyDescent="0.2">
      <c r="Q170" s="16"/>
    </row>
    <row r="171" spans="17:17" x14ac:dyDescent="0.2">
      <c r="Q171" s="16"/>
    </row>
    <row r="172" spans="17:17" x14ac:dyDescent="0.2">
      <c r="Q172" s="16"/>
    </row>
    <row r="173" spans="17:17" x14ac:dyDescent="0.2">
      <c r="Q173" s="16"/>
    </row>
    <row r="174" spans="17:17" x14ac:dyDescent="0.2">
      <c r="Q174" s="16"/>
    </row>
    <row r="175" spans="17:17" x14ac:dyDescent="0.2">
      <c r="Q175" s="16"/>
    </row>
    <row r="176" spans="17:17" x14ac:dyDescent="0.2">
      <c r="Q176" s="16"/>
    </row>
    <row r="177" spans="17:17" x14ac:dyDescent="0.2">
      <c r="Q177" s="16"/>
    </row>
    <row r="178" spans="17:17" x14ac:dyDescent="0.2">
      <c r="Q178" s="16"/>
    </row>
    <row r="179" spans="17:17" x14ac:dyDescent="0.2">
      <c r="Q179" s="16"/>
    </row>
    <row r="180" spans="17:17" x14ac:dyDescent="0.2">
      <c r="Q180" s="16"/>
    </row>
    <row r="181" spans="17:17" x14ac:dyDescent="0.2">
      <c r="Q181" s="16"/>
    </row>
    <row r="182" spans="17:17" x14ac:dyDescent="0.2">
      <c r="Q182" s="16"/>
    </row>
    <row r="183" spans="17:17" x14ac:dyDescent="0.2">
      <c r="Q183" s="16"/>
    </row>
    <row r="184" spans="17:17" x14ac:dyDescent="0.2">
      <c r="Q184" s="16"/>
    </row>
    <row r="185" spans="17:17" x14ac:dyDescent="0.2">
      <c r="Q185" s="16"/>
    </row>
    <row r="186" spans="17:17" x14ac:dyDescent="0.2">
      <c r="Q186" s="16"/>
    </row>
    <row r="187" spans="17:17" x14ac:dyDescent="0.2">
      <c r="Q187" s="16"/>
    </row>
    <row r="188" spans="17:17" x14ac:dyDescent="0.2">
      <c r="Q188" s="16"/>
    </row>
    <row r="189" spans="17:17" x14ac:dyDescent="0.2">
      <c r="Q189" s="16"/>
    </row>
    <row r="190" spans="17:17" x14ac:dyDescent="0.2">
      <c r="Q190" s="16"/>
    </row>
    <row r="191" spans="17:17" x14ac:dyDescent="0.2">
      <c r="Q191" s="16"/>
    </row>
    <row r="192" spans="17:17" x14ac:dyDescent="0.2">
      <c r="Q192" s="16"/>
    </row>
    <row r="193" spans="17:17" x14ac:dyDescent="0.2">
      <c r="Q193" s="16"/>
    </row>
    <row r="194" spans="17:17" x14ac:dyDescent="0.2">
      <c r="Q194" s="16"/>
    </row>
    <row r="195" spans="17:17" x14ac:dyDescent="0.2">
      <c r="Q195" s="16"/>
    </row>
    <row r="196" spans="17:17" x14ac:dyDescent="0.2">
      <c r="Q196" s="16"/>
    </row>
    <row r="197" spans="17:17" x14ac:dyDescent="0.2">
      <c r="Q197" s="16"/>
    </row>
    <row r="198" spans="17:17" x14ac:dyDescent="0.2">
      <c r="Q198" s="16"/>
    </row>
    <row r="199" spans="17:17" x14ac:dyDescent="0.2">
      <c r="Q199" s="16"/>
    </row>
    <row r="200" spans="17:17" x14ac:dyDescent="0.2">
      <c r="Q200" s="16"/>
    </row>
    <row r="201" spans="17:17" x14ac:dyDescent="0.2">
      <c r="Q201" s="16"/>
    </row>
    <row r="202" spans="17:17" x14ac:dyDescent="0.2">
      <c r="Q202" s="16"/>
    </row>
    <row r="203" spans="17:17" x14ac:dyDescent="0.2">
      <c r="Q203" s="16"/>
    </row>
    <row r="204" spans="17:17" x14ac:dyDescent="0.2">
      <c r="Q204" s="16"/>
    </row>
    <row r="205" spans="17:17" x14ac:dyDescent="0.2">
      <c r="Q205" s="16"/>
    </row>
    <row r="206" spans="17:17" x14ac:dyDescent="0.2">
      <c r="Q206" s="16"/>
    </row>
    <row r="207" spans="17:17" x14ac:dyDescent="0.2">
      <c r="Q207" s="16"/>
    </row>
    <row r="208" spans="17:17" x14ac:dyDescent="0.2">
      <c r="Q208" s="16"/>
    </row>
    <row r="209" spans="17:17" x14ac:dyDescent="0.2">
      <c r="Q209" s="16"/>
    </row>
    <row r="210" spans="17:17" x14ac:dyDescent="0.2">
      <c r="Q210" s="16"/>
    </row>
    <row r="211" spans="17:17" x14ac:dyDescent="0.2">
      <c r="Q211" s="16"/>
    </row>
    <row r="212" spans="17:17" x14ac:dyDescent="0.2">
      <c r="Q212" s="16"/>
    </row>
    <row r="213" spans="17:17" x14ac:dyDescent="0.2">
      <c r="Q213" s="16"/>
    </row>
    <row r="214" spans="17:17" x14ac:dyDescent="0.2">
      <c r="Q214" s="16"/>
    </row>
    <row r="215" spans="17:17" x14ac:dyDescent="0.2">
      <c r="Q215" s="16"/>
    </row>
    <row r="216" spans="17:17" x14ac:dyDescent="0.2">
      <c r="Q216" s="16"/>
    </row>
    <row r="217" spans="17:17" x14ac:dyDescent="0.2">
      <c r="Q217" s="16"/>
    </row>
    <row r="218" spans="17:17" x14ac:dyDescent="0.2">
      <c r="Q218" s="16"/>
    </row>
    <row r="219" spans="17:17" x14ac:dyDescent="0.2">
      <c r="Q219" s="16"/>
    </row>
    <row r="220" spans="17:17" x14ac:dyDescent="0.2">
      <c r="Q220" s="16"/>
    </row>
    <row r="221" spans="17:17" x14ac:dyDescent="0.2">
      <c r="Q221" s="16"/>
    </row>
    <row r="222" spans="17:17" x14ac:dyDescent="0.2">
      <c r="Q222" s="16"/>
    </row>
    <row r="223" spans="17:17" x14ac:dyDescent="0.2">
      <c r="Q223" s="16"/>
    </row>
    <row r="224" spans="17:17" x14ac:dyDescent="0.2">
      <c r="Q224" s="16"/>
    </row>
    <row r="225" spans="17:17" x14ac:dyDescent="0.2">
      <c r="Q225" s="16"/>
    </row>
    <row r="226" spans="17:17" x14ac:dyDescent="0.2">
      <c r="Q226" s="16"/>
    </row>
    <row r="227" spans="17:17" x14ac:dyDescent="0.2">
      <c r="Q227" s="16"/>
    </row>
    <row r="228" spans="17:17" x14ac:dyDescent="0.2">
      <c r="Q228" s="16"/>
    </row>
    <row r="229" spans="17:17" x14ac:dyDescent="0.2">
      <c r="Q229" s="16"/>
    </row>
    <row r="230" spans="17:17" x14ac:dyDescent="0.2">
      <c r="Q230" s="16"/>
    </row>
    <row r="231" spans="17:17" x14ac:dyDescent="0.2">
      <c r="Q231" s="16"/>
    </row>
    <row r="232" spans="17:17" x14ac:dyDescent="0.2">
      <c r="Q232" s="16"/>
    </row>
    <row r="233" spans="17:17" x14ac:dyDescent="0.2">
      <c r="Q233" s="16"/>
    </row>
    <row r="234" spans="17:17" x14ac:dyDescent="0.2">
      <c r="Q234" s="16"/>
    </row>
    <row r="235" spans="17:17" x14ac:dyDescent="0.2">
      <c r="Q235" s="16"/>
    </row>
    <row r="236" spans="17:17" x14ac:dyDescent="0.2">
      <c r="Q236" s="16"/>
    </row>
    <row r="237" spans="17:17" x14ac:dyDescent="0.2">
      <c r="Q237" s="16"/>
    </row>
    <row r="238" spans="17:17" x14ac:dyDescent="0.2">
      <c r="Q238" s="16"/>
    </row>
    <row r="239" spans="17:17" x14ac:dyDescent="0.2">
      <c r="Q239" s="16"/>
    </row>
    <row r="240" spans="17:17" x14ac:dyDescent="0.2">
      <c r="Q240" s="16"/>
    </row>
    <row r="241" spans="17:17" x14ac:dyDescent="0.2">
      <c r="Q241" s="16"/>
    </row>
    <row r="242" spans="17:17" x14ac:dyDescent="0.2">
      <c r="Q242" s="16"/>
    </row>
    <row r="243" spans="17:17" x14ac:dyDescent="0.2">
      <c r="Q243" s="16"/>
    </row>
    <row r="244" spans="17:17" x14ac:dyDescent="0.2">
      <c r="Q244" s="16"/>
    </row>
    <row r="245" spans="17:17" x14ac:dyDescent="0.2">
      <c r="Q245" s="16"/>
    </row>
    <row r="246" spans="17:17" x14ac:dyDescent="0.2">
      <c r="Q246" s="16"/>
    </row>
    <row r="247" spans="17:17" x14ac:dyDescent="0.2">
      <c r="Q247" s="16"/>
    </row>
    <row r="248" spans="17:17" x14ac:dyDescent="0.2">
      <c r="Q248" s="16"/>
    </row>
    <row r="249" spans="17:17" x14ac:dyDescent="0.2">
      <c r="Q249" s="16"/>
    </row>
    <row r="250" spans="17:17" x14ac:dyDescent="0.2">
      <c r="Q250" s="16"/>
    </row>
    <row r="251" spans="17:17" x14ac:dyDescent="0.2">
      <c r="Q251" s="16"/>
    </row>
    <row r="252" spans="17:17" x14ac:dyDescent="0.2">
      <c r="Q252" s="16"/>
    </row>
    <row r="253" spans="17:17" x14ac:dyDescent="0.2">
      <c r="Q253" s="16"/>
    </row>
    <row r="254" spans="17:17" x14ac:dyDescent="0.2">
      <c r="Q254" s="16"/>
    </row>
    <row r="255" spans="17:17" x14ac:dyDescent="0.2">
      <c r="Q255" s="16"/>
    </row>
    <row r="256" spans="17:17" x14ac:dyDescent="0.2">
      <c r="Q256" s="16"/>
    </row>
    <row r="257" spans="17:17" x14ac:dyDescent="0.2">
      <c r="Q257" s="16"/>
    </row>
    <row r="258" spans="17:17" x14ac:dyDescent="0.2">
      <c r="Q258" s="16"/>
    </row>
    <row r="259" spans="17:17" x14ac:dyDescent="0.2">
      <c r="Q259" s="16"/>
    </row>
    <row r="260" spans="17:17" x14ac:dyDescent="0.2">
      <c r="Q260" s="16"/>
    </row>
    <row r="261" spans="17:17" x14ac:dyDescent="0.2">
      <c r="Q261" s="16"/>
    </row>
    <row r="262" spans="17:17" x14ac:dyDescent="0.2">
      <c r="Q262" s="16"/>
    </row>
    <row r="263" spans="17:17" x14ac:dyDescent="0.2">
      <c r="Q263" s="16"/>
    </row>
    <row r="264" spans="17:17" x14ac:dyDescent="0.2">
      <c r="Q264" s="16"/>
    </row>
    <row r="265" spans="17:17" x14ac:dyDescent="0.2">
      <c r="Q265" s="16"/>
    </row>
    <row r="266" spans="17:17" x14ac:dyDescent="0.2">
      <c r="Q266" s="16"/>
    </row>
    <row r="267" spans="17:17" x14ac:dyDescent="0.2">
      <c r="Q267" s="16"/>
    </row>
    <row r="268" spans="17:17" x14ac:dyDescent="0.2">
      <c r="Q268" s="16"/>
    </row>
    <row r="269" spans="17:17" x14ac:dyDescent="0.2">
      <c r="Q269" s="16"/>
    </row>
    <row r="270" spans="17:17" x14ac:dyDescent="0.2">
      <c r="Q270" s="16"/>
    </row>
    <row r="271" spans="17:17" x14ac:dyDescent="0.2">
      <c r="Q271" s="16"/>
    </row>
    <row r="272" spans="17:17" x14ac:dyDescent="0.2">
      <c r="Q272" s="16"/>
    </row>
    <row r="273" spans="17:17" x14ac:dyDescent="0.2">
      <c r="Q273" s="16"/>
    </row>
    <row r="274" spans="17:17" x14ac:dyDescent="0.2">
      <c r="Q274" s="16"/>
    </row>
    <row r="275" spans="17:17" x14ac:dyDescent="0.2">
      <c r="Q275" s="16"/>
    </row>
    <row r="276" spans="17:17" x14ac:dyDescent="0.2">
      <c r="Q276" s="16"/>
    </row>
    <row r="277" spans="17:17" x14ac:dyDescent="0.2">
      <c r="Q277" s="16"/>
    </row>
    <row r="278" spans="17:17" x14ac:dyDescent="0.2">
      <c r="Q278" s="16"/>
    </row>
    <row r="279" spans="17:17" x14ac:dyDescent="0.2">
      <c r="Q279" s="16"/>
    </row>
    <row r="280" spans="17:17" x14ac:dyDescent="0.2">
      <c r="Q280" s="16"/>
    </row>
    <row r="281" spans="17:17" x14ac:dyDescent="0.2">
      <c r="Q281" s="16"/>
    </row>
    <row r="282" spans="17:17" x14ac:dyDescent="0.2">
      <c r="Q282" s="16"/>
    </row>
    <row r="283" spans="17:17" x14ac:dyDescent="0.2">
      <c r="Q283" s="16"/>
    </row>
    <row r="284" spans="17:17" x14ac:dyDescent="0.2">
      <c r="Q284" s="16"/>
    </row>
    <row r="285" spans="17:17" x14ac:dyDescent="0.2">
      <c r="Q285" s="16"/>
    </row>
    <row r="286" spans="17:17" x14ac:dyDescent="0.2">
      <c r="Q286" s="16"/>
    </row>
    <row r="287" spans="17:17" x14ac:dyDescent="0.2">
      <c r="Q287" s="16"/>
    </row>
    <row r="288" spans="17:17" x14ac:dyDescent="0.2">
      <c r="Q288" s="16"/>
    </row>
    <row r="289" spans="17:17" x14ac:dyDescent="0.2">
      <c r="Q289" s="16"/>
    </row>
    <row r="290" spans="17:17" x14ac:dyDescent="0.2">
      <c r="Q290" s="16"/>
    </row>
    <row r="291" spans="17:17" x14ac:dyDescent="0.2">
      <c r="Q291" s="16"/>
    </row>
    <row r="292" spans="17:17" x14ac:dyDescent="0.2">
      <c r="Q292" s="16"/>
    </row>
    <row r="293" spans="17:17" x14ac:dyDescent="0.2">
      <c r="Q293" s="16"/>
    </row>
    <row r="294" spans="17:17" x14ac:dyDescent="0.2">
      <c r="Q294" s="16"/>
    </row>
    <row r="295" spans="17:17" x14ac:dyDescent="0.2">
      <c r="Q295" s="16"/>
    </row>
    <row r="296" spans="17:17" x14ac:dyDescent="0.2">
      <c r="Q296" s="16"/>
    </row>
    <row r="297" spans="17:17" x14ac:dyDescent="0.2">
      <c r="Q297" s="16"/>
    </row>
    <row r="298" spans="17:17" x14ac:dyDescent="0.2">
      <c r="Q298" s="16"/>
    </row>
    <row r="299" spans="17:17" x14ac:dyDescent="0.2">
      <c r="Q299" s="16"/>
    </row>
    <row r="300" spans="17:17" x14ac:dyDescent="0.2">
      <c r="Q300" s="16"/>
    </row>
    <row r="301" spans="17:17" x14ac:dyDescent="0.2">
      <c r="Q301" s="16"/>
    </row>
    <row r="302" spans="17:17" x14ac:dyDescent="0.2">
      <c r="Q302" s="16"/>
    </row>
    <row r="303" spans="17:17" x14ac:dyDescent="0.2">
      <c r="Q303" s="16"/>
    </row>
    <row r="304" spans="17:17" x14ac:dyDescent="0.2">
      <c r="Q304" s="16"/>
    </row>
    <row r="305" spans="17:17" x14ac:dyDescent="0.2">
      <c r="Q305" s="16"/>
    </row>
    <row r="306" spans="17:17" x14ac:dyDescent="0.2">
      <c r="Q306" s="16"/>
    </row>
    <row r="307" spans="17:17" x14ac:dyDescent="0.2">
      <c r="Q307" s="16"/>
    </row>
    <row r="308" spans="17:17" x14ac:dyDescent="0.2">
      <c r="Q308" s="16"/>
    </row>
    <row r="309" spans="17:17" x14ac:dyDescent="0.2">
      <c r="Q309" s="16"/>
    </row>
    <row r="310" spans="17:17" x14ac:dyDescent="0.2">
      <c r="Q310" s="16"/>
    </row>
    <row r="311" spans="17:17" x14ac:dyDescent="0.2">
      <c r="Q311" s="16"/>
    </row>
    <row r="312" spans="17:17" x14ac:dyDescent="0.2">
      <c r="Q312" s="16"/>
    </row>
    <row r="313" spans="17:17" x14ac:dyDescent="0.2">
      <c r="Q313" s="16"/>
    </row>
    <row r="314" spans="17:17" x14ac:dyDescent="0.2">
      <c r="Q314" s="16"/>
    </row>
    <row r="315" spans="17:17" x14ac:dyDescent="0.2">
      <c r="Q315" s="16"/>
    </row>
    <row r="316" spans="17:17" x14ac:dyDescent="0.2">
      <c r="Q316" s="16"/>
    </row>
    <row r="317" spans="17:17" x14ac:dyDescent="0.2">
      <c r="Q317" s="16"/>
    </row>
    <row r="318" spans="17:17" x14ac:dyDescent="0.2">
      <c r="Q318" s="16"/>
    </row>
    <row r="319" spans="17:17" x14ac:dyDescent="0.2">
      <c r="Q319" s="16"/>
    </row>
    <row r="320" spans="17:17" x14ac:dyDescent="0.2">
      <c r="Q320" s="16"/>
    </row>
    <row r="321" spans="17:17" x14ac:dyDescent="0.2">
      <c r="Q321" s="16"/>
    </row>
    <row r="322" spans="17:17" x14ac:dyDescent="0.2">
      <c r="Q322" s="16"/>
    </row>
    <row r="323" spans="17:17" x14ac:dyDescent="0.2">
      <c r="Q323" s="16"/>
    </row>
    <row r="324" spans="17:17" x14ac:dyDescent="0.2">
      <c r="Q324" s="16"/>
    </row>
    <row r="325" spans="17:17" x14ac:dyDescent="0.2">
      <c r="Q325" s="16"/>
    </row>
    <row r="326" spans="17:17" x14ac:dyDescent="0.2">
      <c r="Q326" s="16"/>
    </row>
    <row r="327" spans="17:17" x14ac:dyDescent="0.2">
      <c r="Q327" s="16"/>
    </row>
    <row r="328" spans="17:17" x14ac:dyDescent="0.2">
      <c r="Q328" s="16"/>
    </row>
    <row r="329" spans="17:17" x14ac:dyDescent="0.2">
      <c r="Q329" s="16"/>
    </row>
    <row r="330" spans="17:17" x14ac:dyDescent="0.2">
      <c r="Q330" s="16"/>
    </row>
    <row r="331" spans="17:17" x14ac:dyDescent="0.2">
      <c r="Q331" s="16"/>
    </row>
    <row r="332" spans="17:17" x14ac:dyDescent="0.2">
      <c r="Q332" s="16"/>
    </row>
    <row r="333" spans="17:17" x14ac:dyDescent="0.2">
      <c r="Q333" s="16"/>
    </row>
    <row r="334" spans="17:17" x14ac:dyDescent="0.2">
      <c r="Q334" s="16"/>
    </row>
    <row r="335" spans="17:17" x14ac:dyDescent="0.2">
      <c r="Q335" s="16"/>
    </row>
    <row r="336" spans="17:17" x14ac:dyDescent="0.2">
      <c r="Q336" s="16"/>
    </row>
    <row r="337" spans="17:17" x14ac:dyDescent="0.2">
      <c r="Q337" s="16"/>
    </row>
    <row r="338" spans="17:17" x14ac:dyDescent="0.2">
      <c r="Q338" s="16"/>
    </row>
    <row r="339" spans="17:17" x14ac:dyDescent="0.2">
      <c r="Q339" s="16"/>
    </row>
    <row r="340" spans="17:17" x14ac:dyDescent="0.2">
      <c r="Q340" s="16"/>
    </row>
    <row r="341" spans="17:17" x14ac:dyDescent="0.2">
      <c r="Q341" s="16"/>
    </row>
    <row r="342" spans="17:17" x14ac:dyDescent="0.2">
      <c r="Q342" s="16"/>
    </row>
    <row r="343" spans="17:17" x14ac:dyDescent="0.2">
      <c r="Q343" s="16"/>
    </row>
    <row r="344" spans="17:17" x14ac:dyDescent="0.2">
      <c r="Q344" s="16"/>
    </row>
    <row r="345" spans="17:17" x14ac:dyDescent="0.2">
      <c r="Q345" s="16"/>
    </row>
    <row r="346" spans="17:17" x14ac:dyDescent="0.2">
      <c r="Q346" s="16"/>
    </row>
    <row r="347" spans="17:17" x14ac:dyDescent="0.2">
      <c r="Q347" s="16"/>
    </row>
    <row r="348" spans="17:17" x14ac:dyDescent="0.2">
      <c r="Q348" s="16"/>
    </row>
    <row r="349" spans="17:17" x14ac:dyDescent="0.2">
      <c r="Q349" s="16"/>
    </row>
    <row r="350" spans="17:17" x14ac:dyDescent="0.2">
      <c r="Q350" s="16"/>
    </row>
    <row r="351" spans="17:17" x14ac:dyDescent="0.2">
      <c r="Q351" s="16"/>
    </row>
    <row r="352" spans="17:17" x14ac:dyDescent="0.2">
      <c r="Q352" s="16"/>
    </row>
    <row r="353" spans="17:17" x14ac:dyDescent="0.2">
      <c r="Q353" s="16"/>
    </row>
    <row r="354" spans="17:17" x14ac:dyDescent="0.2">
      <c r="Q354" s="16"/>
    </row>
    <row r="355" spans="17:17" x14ac:dyDescent="0.2">
      <c r="Q355" s="16"/>
    </row>
    <row r="356" spans="17:17" x14ac:dyDescent="0.2">
      <c r="Q356" s="16"/>
    </row>
    <row r="357" spans="17:17" x14ac:dyDescent="0.2">
      <c r="Q357" s="16"/>
    </row>
    <row r="358" spans="17:17" x14ac:dyDescent="0.2">
      <c r="Q358" s="16"/>
    </row>
    <row r="359" spans="17:17" x14ac:dyDescent="0.2">
      <c r="Q359" s="16"/>
    </row>
    <row r="360" spans="17:17" x14ac:dyDescent="0.2">
      <c r="Q360" s="16"/>
    </row>
    <row r="361" spans="17:17" x14ac:dyDescent="0.2">
      <c r="Q361" s="16"/>
    </row>
    <row r="362" spans="17:17" x14ac:dyDescent="0.2">
      <c r="Q362" s="16"/>
    </row>
    <row r="363" spans="17:17" x14ac:dyDescent="0.2">
      <c r="Q363" s="16"/>
    </row>
    <row r="364" spans="17:17" x14ac:dyDescent="0.2">
      <c r="Q364" s="16"/>
    </row>
    <row r="365" spans="17:17" x14ac:dyDescent="0.2">
      <c r="Q365" s="16"/>
    </row>
    <row r="366" spans="17:17" x14ac:dyDescent="0.2">
      <c r="Q366" s="16"/>
    </row>
    <row r="367" spans="17:17" x14ac:dyDescent="0.2">
      <c r="Q367" s="16"/>
    </row>
    <row r="368" spans="17:17" x14ac:dyDescent="0.2">
      <c r="Q368" s="16"/>
    </row>
    <row r="369" spans="17:17" x14ac:dyDescent="0.2">
      <c r="Q369" s="16"/>
    </row>
    <row r="370" spans="17:17" x14ac:dyDescent="0.2">
      <c r="Q370" s="16"/>
    </row>
    <row r="371" spans="17:17" x14ac:dyDescent="0.2">
      <c r="Q371" s="16"/>
    </row>
    <row r="372" spans="17:17" x14ac:dyDescent="0.2">
      <c r="Q372" s="16"/>
    </row>
    <row r="373" spans="17:17" x14ac:dyDescent="0.2">
      <c r="Q373" s="16"/>
    </row>
    <row r="374" spans="17:17" x14ac:dyDescent="0.2">
      <c r="Q374" s="16"/>
    </row>
    <row r="375" spans="17:17" x14ac:dyDescent="0.2">
      <c r="Q375" s="16"/>
    </row>
    <row r="376" spans="17:17" x14ac:dyDescent="0.2">
      <c r="Q376" s="16"/>
    </row>
    <row r="377" spans="17:17" x14ac:dyDescent="0.2">
      <c r="Q377" s="16"/>
    </row>
    <row r="378" spans="17:17" x14ac:dyDescent="0.2">
      <c r="Q378" s="16"/>
    </row>
    <row r="379" spans="17:17" x14ac:dyDescent="0.2">
      <c r="Q379" s="16"/>
    </row>
    <row r="380" spans="17:17" x14ac:dyDescent="0.2">
      <c r="Q380" s="16"/>
    </row>
    <row r="381" spans="17:17" x14ac:dyDescent="0.2">
      <c r="Q381" s="16"/>
    </row>
    <row r="382" spans="17:17" x14ac:dyDescent="0.2">
      <c r="Q382" s="16"/>
    </row>
    <row r="383" spans="17:17" x14ac:dyDescent="0.2">
      <c r="Q383" s="16"/>
    </row>
    <row r="384" spans="17:17" x14ac:dyDescent="0.2">
      <c r="Q384" s="16"/>
    </row>
    <row r="385" spans="17:17" x14ac:dyDescent="0.2">
      <c r="Q385" s="16"/>
    </row>
    <row r="386" spans="17:17" x14ac:dyDescent="0.2">
      <c r="Q386" s="16"/>
    </row>
    <row r="387" spans="17:17" x14ac:dyDescent="0.2">
      <c r="Q387" s="16"/>
    </row>
    <row r="388" spans="17:17" x14ac:dyDescent="0.2">
      <c r="Q388" s="16"/>
    </row>
    <row r="389" spans="17:17" x14ac:dyDescent="0.2">
      <c r="Q389" s="16"/>
    </row>
    <row r="390" spans="17:17" x14ac:dyDescent="0.2">
      <c r="Q390" s="16"/>
    </row>
    <row r="391" spans="17:17" x14ac:dyDescent="0.2">
      <c r="Q391" s="16"/>
    </row>
    <row r="392" spans="17:17" x14ac:dyDescent="0.2">
      <c r="Q392" s="16"/>
    </row>
    <row r="393" spans="17:17" x14ac:dyDescent="0.2">
      <c r="Q393" s="16"/>
    </row>
    <row r="394" spans="17:17" x14ac:dyDescent="0.2">
      <c r="Q394" s="16"/>
    </row>
    <row r="395" spans="17:17" x14ac:dyDescent="0.2">
      <c r="Q395" s="16"/>
    </row>
    <row r="396" spans="17:17" x14ac:dyDescent="0.2">
      <c r="Q396" s="16"/>
    </row>
    <row r="397" spans="17:17" x14ac:dyDescent="0.2">
      <c r="Q397" s="16"/>
    </row>
    <row r="398" spans="17:17" x14ac:dyDescent="0.2">
      <c r="Q398" s="16"/>
    </row>
    <row r="399" spans="17:17" x14ac:dyDescent="0.2">
      <c r="Q399" s="16"/>
    </row>
    <row r="400" spans="17:17" x14ac:dyDescent="0.2">
      <c r="Q400" s="16"/>
    </row>
    <row r="401" spans="17:17" x14ac:dyDescent="0.2">
      <c r="Q401" s="16"/>
    </row>
    <row r="402" spans="17:17" x14ac:dyDescent="0.2">
      <c r="Q402" s="16"/>
    </row>
    <row r="403" spans="17:17" x14ac:dyDescent="0.2">
      <c r="Q403" s="16"/>
    </row>
    <row r="404" spans="17:17" x14ac:dyDescent="0.2">
      <c r="Q404" s="16"/>
    </row>
    <row r="405" spans="17:17" x14ac:dyDescent="0.2">
      <c r="Q405" s="16"/>
    </row>
    <row r="406" spans="17:17" x14ac:dyDescent="0.2">
      <c r="Q406" s="16"/>
    </row>
    <row r="407" spans="17:17" x14ac:dyDescent="0.2">
      <c r="Q407" s="16"/>
    </row>
    <row r="408" spans="17:17" x14ac:dyDescent="0.2">
      <c r="Q408" s="16"/>
    </row>
    <row r="409" spans="17:17" x14ac:dyDescent="0.2">
      <c r="Q409" s="16"/>
    </row>
    <row r="410" spans="17:17" x14ac:dyDescent="0.2">
      <c r="Q410" s="16"/>
    </row>
    <row r="411" spans="17:17" x14ac:dyDescent="0.2">
      <c r="Q411" s="16"/>
    </row>
    <row r="412" spans="17:17" x14ac:dyDescent="0.2">
      <c r="Q412" s="16"/>
    </row>
    <row r="413" spans="17:17" x14ac:dyDescent="0.2">
      <c r="Q413" s="16"/>
    </row>
    <row r="414" spans="17:17" x14ac:dyDescent="0.2">
      <c r="Q414" s="16"/>
    </row>
    <row r="415" spans="17:17" x14ac:dyDescent="0.2">
      <c r="Q415" s="16"/>
    </row>
    <row r="416" spans="17:17" x14ac:dyDescent="0.2">
      <c r="Q416" s="16"/>
    </row>
    <row r="417" spans="17:17" x14ac:dyDescent="0.2">
      <c r="Q417" s="16"/>
    </row>
    <row r="418" spans="17:17" x14ac:dyDescent="0.2">
      <c r="Q418" s="16"/>
    </row>
    <row r="419" spans="17:17" x14ac:dyDescent="0.2">
      <c r="Q419" s="16"/>
    </row>
    <row r="420" spans="17:17" x14ac:dyDescent="0.2">
      <c r="Q420" s="16"/>
    </row>
    <row r="421" spans="17:17" x14ac:dyDescent="0.2">
      <c r="Q421" s="16"/>
    </row>
    <row r="422" spans="17:17" x14ac:dyDescent="0.2">
      <c r="Q422" s="16"/>
    </row>
    <row r="423" spans="17:17" x14ac:dyDescent="0.2">
      <c r="Q423" s="16"/>
    </row>
    <row r="424" spans="17:17" x14ac:dyDescent="0.2">
      <c r="Q424" s="16"/>
    </row>
    <row r="425" spans="17:17" x14ac:dyDescent="0.2">
      <c r="Q425" s="16"/>
    </row>
    <row r="426" spans="17:17" x14ac:dyDescent="0.2">
      <c r="Q426" s="16"/>
    </row>
    <row r="427" spans="17:17" x14ac:dyDescent="0.2">
      <c r="Q427" s="16"/>
    </row>
    <row r="428" spans="17:17" x14ac:dyDescent="0.2">
      <c r="Q428" s="16"/>
    </row>
    <row r="429" spans="17:17" x14ac:dyDescent="0.2">
      <c r="Q429" s="16"/>
    </row>
    <row r="430" spans="17:17" x14ac:dyDescent="0.2">
      <c r="Q430" s="16"/>
    </row>
    <row r="431" spans="17:17" x14ac:dyDescent="0.2">
      <c r="Q431" s="16"/>
    </row>
    <row r="432" spans="17:17" x14ac:dyDescent="0.2">
      <c r="Q432" s="16"/>
    </row>
    <row r="433" spans="17:17" x14ac:dyDescent="0.2">
      <c r="Q433" s="16"/>
    </row>
    <row r="434" spans="17:17" x14ac:dyDescent="0.2">
      <c r="Q434" s="16"/>
    </row>
    <row r="435" spans="17:17" x14ac:dyDescent="0.2">
      <c r="Q435" s="16"/>
    </row>
    <row r="436" spans="17:17" x14ac:dyDescent="0.2">
      <c r="Q436" s="16"/>
    </row>
    <row r="437" spans="17:17" x14ac:dyDescent="0.2">
      <c r="Q437" s="16"/>
    </row>
    <row r="438" spans="17:17" x14ac:dyDescent="0.2">
      <c r="Q438" s="16"/>
    </row>
    <row r="439" spans="17:17" x14ac:dyDescent="0.2">
      <c r="Q439" s="16"/>
    </row>
    <row r="440" spans="17:17" x14ac:dyDescent="0.2">
      <c r="Q440" s="16"/>
    </row>
    <row r="441" spans="17:17" x14ac:dyDescent="0.2">
      <c r="Q441" s="16"/>
    </row>
    <row r="442" spans="17:17" x14ac:dyDescent="0.2">
      <c r="Q442" s="16"/>
    </row>
    <row r="443" spans="17:17" x14ac:dyDescent="0.2">
      <c r="Q443" s="16"/>
    </row>
    <row r="444" spans="17:17" x14ac:dyDescent="0.2">
      <c r="Q444" s="16"/>
    </row>
    <row r="445" spans="17:17" x14ac:dyDescent="0.2">
      <c r="Q445" s="16"/>
    </row>
    <row r="446" spans="17:17" x14ac:dyDescent="0.2">
      <c r="Q446" s="16"/>
    </row>
    <row r="447" spans="17:17" x14ac:dyDescent="0.2">
      <c r="Q447" s="16"/>
    </row>
    <row r="448" spans="17:17" x14ac:dyDescent="0.2">
      <c r="Q448" s="16"/>
    </row>
    <row r="449" spans="17:17" x14ac:dyDescent="0.2">
      <c r="Q449" s="16"/>
    </row>
    <row r="450" spans="17:17" x14ac:dyDescent="0.2">
      <c r="Q450" s="16"/>
    </row>
    <row r="451" spans="17:17" x14ac:dyDescent="0.2">
      <c r="Q451" s="16"/>
    </row>
    <row r="452" spans="17:17" x14ac:dyDescent="0.2">
      <c r="Q452" s="16"/>
    </row>
    <row r="453" spans="17:17" x14ac:dyDescent="0.2">
      <c r="Q453" s="16"/>
    </row>
    <row r="454" spans="17:17" x14ac:dyDescent="0.2">
      <c r="Q454" s="16"/>
    </row>
    <row r="455" spans="17:17" x14ac:dyDescent="0.2">
      <c r="Q455" s="16"/>
    </row>
    <row r="456" spans="17:17" x14ac:dyDescent="0.2">
      <c r="Q456" s="16"/>
    </row>
  </sheetData>
  <customSheetViews>
    <customSheetView guid="{60788006-5C2B-4CAF-8D5B-3FA82F99F0BB}" showPageBreaks="1" printArea="1" view="pageBreakPreview">
      <pane xSplit="3" ySplit="3" topLeftCell="D91" activePane="bottomRight" state="frozen"/>
      <selection pane="bottomRight" activeCell="K117" sqref="K117"/>
      <rowBreaks count="1" manualBreakCount="1">
        <brk id="62" max="16" man="1"/>
      </rowBreaks>
      <pageMargins left="0" right="0" top="0" bottom="0" header="0.31496062992125984" footer="0.31496062992125984"/>
      <pageSetup paperSize="8" scale="85" orientation="landscape" r:id="rId1"/>
      <headerFooter alignWithMargins="0"/>
    </customSheetView>
    <customSheetView guid="{6C0BD6A7-6718-429D-82D9-D2FE0341EA2C}" showPageBreaks="1" printArea="1" view="pageBreakPreview">
      <pane xSplit="3" ySplit="3" topLeftCell="D49" activePane="bottomRight" state="frozen"/>
      <selection pane="bottomRight" activeCell="H96" sqref="H96"/>
      <rowBreaks count="1" manualBreakCount="1">
        <brk id="62" max="16" man="1"/>
      </rowBreaks>
      <pageMargins left="0" right="0" top="0" bottom="0" header="0.31496062992125984" footer="0.31496062992125984"/>
      <pageSetup paperSize="8" scale="85" orientation="landscape" r:id="rId2"/>
      <headerFooter alignWithMargins="0"/>
    </customSheetView>
    <customSheetView guid="{594C4AB0-8D5F-4373-9663-410F4413FE3A}" showPageBreaks="1" printArea="1" view="pageBreakPreview">
      <pane xSplit="3" ySplit="3" topLeftCell="E4" activePane="bottomRight" state="frozen"/>
      <selection pane="bottomRight" activeCell="F33" sqref="F33:F38"/>
      <rowBreaks count="1" manualBreakCount="1">
        <brk id="62" max="16" man="1"/>
      </rowBreaks>
      <pageMargins left="0" right="0" top="0" bottom="0" header="0.31496062992125984" footer="0.31496062992125984"/>
      <pageSetup paperSize="8" scale="85" orientation="landscape" r:id="rId3"/>
      <headerFooter alignWithMargins="0"/>
    </customSheetView>
    <customSheetView guid="{DF69299D-7752-4436-A45D-28F739CEE21B}" showPageBreaks="1" printArea="1" view="pageBreakPreview">
      <pane xSplit="3" ySplit="3" topLeftCell="D10" activePane="bottomRight" state="frozen"/>
      <selection pane="bottomRight" activeCell="F13" sqref="F13:L13"/>
      <rowBreaks count="1" manualBreakCount="1">
        <brk id="62" max="16" man="1"/>
      </rowBreaks>
      <pageMargins left="0" right="0" top="0" bottom="0" header="0.31496062992125984" footer="0.31496062992125984"/>
      <pageSetup paperSize="8" scale="85" orientation="landscape" r:id="rId4"/>
      <headerFooter alignWithMargins="0"/>
    </customSheetView>
  </customSheetViews>
  <mergeCells count="11">
    <mergeCell ref="D98:F98"/>
    <mergeCell ref="D90:F90"/>
    <mergeCell ref="D5:F5"/>
    <mergeCell ref="D31:F31"/>
    <mergeCell ref="D42:F42"/>
    <mergeCell ref="D11:F11"/>
    <mergeCell ref="D64:F64"/>
    <mergeCell ref="D79:F79"/>
    <mergeCell ref="D54:F54"/>
    <mergeCell ref="D25:F25"/>
    <mergeCell ref="D18:F18"/>
  </mergeCells>
  <phoneticPr fontId="0" type="noConversion"/>
  <pageMargins left="0" right="0" top="0" bottom="0" header="0.31496062992125984" footer="0.31496062992125984"/>
  <pageSetup paperSize="8" scale="85" orientation="landscape" r:id="rId5"/>
  <headerFooter alignWithMargins="0"/>
  <rowBreaks count="1" manualBreakCount="1">
    <brk id="62" max="1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>
    <tabColor indexed="13"/>
  </sheetPr>
  <dimension ref="A1:R285"/>
  <sheetViews>
    <sheetView view="pageBreakPreview" zoomScaleSheetLayoutView="100" workbookViewId="0">
      <pane xSplit="3" ySplit="3" topLeftCell="D85" activePane="bottomRight" state="frozen"/>
      <selection pane="topRight" activeCell="D1" sqref="D1"/>
      <selection pane="bottomLeft" activeCell="A4" sqref="A4"/>
      <selection pane="bottomRight" activeCell="K105" sqref="K105"/>
    </sheetView>
  </sheetViews>
  <sheetFormatPr defaultColWidth="9.21875" defaultRowHeight="10.199999999999999" x14ac:dyDescent="0.2"/>
  <cols>
    <col min="1" max="1" width="22.77734375" style="2" customWidth="1"/>
    <col min="2" max="2" width="8.77734375" style="2" bestFit="1" customWidth="1"/>
    <col min="3" max="3" width="4.44140625" style="4" bestFit="1" customWidth="1"/>
    <col min="4" max="4" width="8.21875" style="13" bestFit="1" customWidth="1"/>
    <col min="5" max="5" width="13.21875" style="2" bestFit="1" customWidth="1"/>
    <col min="6" max="6" width="15.77734375" style="2" customWidth="1"/>
    <col min="7" max="7" width="11.21875" style="2" bestFit="1" customWidth="1"/>
    <col min="8" max="9" width="13.21875" style="2" bestFit="1" customWidth="1"/>
    <col min="10" max="10" width="15.77734375" style="2" customWidth="1"/>
    <col min="11" max="11" width="11.21875" style="2" bestFit="1" customWidth="1"/>
    <col min="12" max="13" width="13.21875" style="2" bestFit="1" customWidth="1"/>
    <col min="14" max="14" width="11.21875" style="2" bestFit="1" customWidth="1"/>
    <col min="15" max="15" width="13.21875" style="2" bestFit="1" customWidth="1"/>
    <col min="16" max="16" width="8.21875" style="11" customWidth="1"/>
    <col min="17" max="17" width="9.5546875" style="21" bestFit="1" customWidth="1"/>
    <col min="18" max="16384" width="9.21875" style="2"/>
  </cols>
  <sheetData>
    <row r="1" spans="1:17" ht="15.6" x14ac:dyDescent="0.3">
      <c r="A1" s="360" t="s">
        <v>1568</v>
      </c>
      <c r="B1" s="359"/>
      <c r="C1" s="366"/>
      <c r="D1" s="365" t="s">
        <v>20</v>
      </c>
    </row>
    <row r="3" spans="1:17" ht="33" customHeight="1" x14ac:dyDescent="0.2">
      <c r="A3" s="293" t="s">
        <v>1</v>
      </c>
      <c r="B3" s="293" t="s">
        <v>0</v>
      </c>
      <c r="C3" s="294" t="s">
        <v>2</v>
      </c>
      <c r="D3" s="295" t="s">
        <v>3</v>
      </c>
      <c r="E3" s="296" t="s">
        <v>143</v>
      </c>
      <c r="F3" s="296" t="s">
        <v>1450</v>
      </c>
      <c r="G3" s="296" t="s">
        <v>131</v>
      </c>
      <c r="H3" s="296" t="s">
        <v>132</v>
      </c>
      <c r="I3" s="296" t="s">
        <v>137</v>
      </c>
      <c r="J3" s="296" t="s">
        <v>144</v>
      </c>
      <c r="K3" s="296" t="s">
        <v>139</v>
      </c>
      <c r="L3" s="297" t="str">
        <f>+mayor!L3</f>
        <v>INTEREST</v>
      </c>
      <c r="M3" s="298" t="s">
        <v>12</v>
      </c>
      <c r="N3" s="296" t="s">
        <v>136</v>
      </c>
      <c r="O3" s="296" t="s">
        <v>135</v>
      </c>
      <c r="P3" s="299" t="s">
        <v>63</v>
      </c>
      <c r="Q3" s="300" t="s">
        <v>11</v>
      </c>
    </row>
    <row r="4" spans="1:17" ht="14.25" customHeight="1" thickBot="1" x14ac:dyDescent="0.25">
      <c r="E4" s="112"/>
      <c r="F4" s="112"/>
      <c r="G4" s="112"/>
      <c r="H4" s="112"/>
      <c r="I4" s="112"/>
      <c r="J4" s="112"/>
      <c r="K4" s="112"/>
      <c r="L4" s="113"/>
      <c r="M4" s="114"/>
      <c r="N4" s="112"/>
      <c r="O4" s="112"/>
      <c r="P4" s="5"/>
      <c r="Q4" s="38"/>
    </row>
    <row r="5" spans="1:17" ht="10.8" thickBot="1" x14ac:dyDescent="0.25">
      <c r="A5" s="283" t="s">
        <v>10</v>
      </c>
      <c r="B5" s="284" t="s">
        <v>434</v>
      </c>
      <c r="D5" s="556" t="s">
        <v>210</v>
      </c>
      <c r="E5" s="557"/>
      <c r="F5" s="558"/>
    </row>
    <row r="6" spans="1:17" x14ac:dyDescent="0.2">
      <c r="Q6" s="16"/>
    </row>
    <row r="7" spans="1:17" x14ac:dyDescent="0.2">
      <c r="A7" s="482" t="str">
        <f>+'1-10'!C26</f>
        <v>ISUZU KB200i 2x4 [173]</v>
      </c>
      <c r="B7" s="508" t="str">
        <f>+'1-10'!R26</f>
        <v>CMB 477 L</v>
      </c>
      <c r="C7" s="483">
        <v>625</v>
      </c>
      <c r="D7" s="6">
        <v>15000</v>
      </c>
      <c r="E7" s="514">
        <f>+D7/P7*(CALC!$A$4)</f>
        <v>52848.575712143931</v>
      </c>
      <c r="F7" s="28">
        <v>23400</v>
      </c>
      <c r="G7" s="28">
        <f>CALC!$A$23*(I7/CEM!I$148)</f>
        <v>2271.2521186022946</v>
      </c>
      <c r="H7" s="28">
        <f>58000*(1+CALC!B$14)</f>
        <v>62640.000000000007</v>
      </c>
      <c r="I7" s="28">
        <v>15393.84</v>
      </c>
      <c r="J7" s="28"/>
      <c r="K7" s="522">
        <f>678*(1+CALC!B$13)</f>
        <v>759.36000000000013</v>
      </c>
      <c r="L7" s="28"/>
      <c r="M7" s="28">
        <f>SUM(E7:L7)</f>
        <v>157313.02783074623</v>
      </c>
      <c r="N7" s="24">
        <f>M7/CALC!$A$8*CALC!$A$6</f>
        <v>3072.4769643512323</v>
      </c>
      <c r="O7" s="28">
        <f>+M7+N7</f>
        <v>160385.50479509745</v>
      </c>
      <c r="P7" s="37">
        <v>6.67</v>
      </c>
      <c r="Q7" s="38"/>
    </row>
    <row r="8" spans="1:17" x14ac:dyDescent="0.2">
      <c r="A8" s="8"/>
      <c r="B8" s="8"/>
      <c r="C8" s="14"/>
      <c r="D8" s="6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23"/>
      <c r="Q8" s="16"/>
    </row>
    <row r="9" spans="1:17" s="7" customFormat="1" x14ac:dyDescent="0.2">
      <c r="A9" s="3"/>
      <c r="B9" s="3" t="s">
        <v>14</v>
      </c>
      <c r="C9" s="18"/>
      <c r="D9" s="12">
        <f t="shared" ref="D9:L9" si="0">SUM(D7:D8)</f>
        <v>15000</v>
      </c>
      <c r="E9" s="10">
        <f t="shared" si="0"/>
        <v>52848.575712143931</v>
      </c>
      <c r="F9" s="10">
        <f t="shared" si="0"/>
        <v>23400</v>
      </c>
      <c r="G9" s="10">
        <f t="shared" si="0"/>
        <v>2271.2521186022946</v>
      </c>
      <c r="H9" s="10">
        <f t="shared" si="0"/>
        <v>62640.000000000007</v>
      </c>
      <c r="I9" s="10">
        <f t="shared" si="0"/>
        <v>15393.84</v>
      </c>
      <c r="J9" s="10">
        <f t="shared" si="0"/>
        <v>0</v>
      </c>
      <c r="K9" s="10">
        <f t="shared" si="0"/>
        <v>759.36000000000013</v>
      </c>
      <c r="L9" s="10">
        <f t="shared" si="0"/>
        <v>0</v>
      </c>
      <c r="M9" s="10">
        <f>SUM(M7:M8)</f>
        <v>157313.02783074623</v>
      </c>
      <c r="N9" s="10">
        <f>M9/CALC!$A$8*CALC!$A$6</f>
        <v>3072.4769643512323</v>
      </c>
      <c r="O9" s="10">
        <f>+M9+N9</f>
        <v>160385.50479509745</v>
      </c>
      <c r="P9" s="25"/>
      <c r="Q9" s="110">
        <f>(+O9/D9)*(1+CALC!$A$3)</f>
        <v>10.692366986339831</v>
      </c>
    </row>
    <row r="10" spans="1:17" s="7" customFormat="1" ht="17.25" customHeight="1" thickBot="1" x14ac:dyDescent="0.25">
      <c r="C10" s="29"/>
      <c r="D10" s="30"/>
      <c r="E10" s="71"/>
      <c r="F10" s="71"/>
      <c r="G10" s="71"/>
      <c r="H10" s="71"/>
      <c r="I10" s="71"/>
      <c r="J10" s="71"/>
      <c r="K10" s="71"/>
      <c r="L10" s="71"/>
      <c r="N10" s="71"/>
      <c r="O10" s="71"/>
      <c r="P10" s="17"/>
      <c r="Q10" s="34"/>
    </row>
    <row r="11" spans="1:17" ht="10.8" thickBot="1" x14ac:dyDescent="0.25">
      <c r="A11" s="283" t="s">
        <v>10</v>
      </c>
      <c r="B11" s="284" t="s">
        <v>435</v>
      </c>
      <c r="D11" s="556" t="s">
        <v>211</v>
      </c>
      <c r="E11" s="557"/>
      <c r="F11" s="558"/>
    </row>
    <row r="12" spans="1:17" x14ac:dyDescent="0.2">
      <c r="Q12" s="16"/>
    </row>
    <row r="13" spans="1:17" x14ac:dyDescent="0.2">
      <c r="A13" s="482" t="str">
        <f>+'1-10'!C57</f>
        <v>NISSAN   UD 40A M02 [173]</v>
      </c>
      <c r="B13" s="508" t="str">
        <f>+'1-10'!R57</f>
        <v>CMJ 501 L</v>
      </c>
      <c r="C13" s="483">
        <v>656</v>
      </c>
      <c r="D13" s="6">
        <v>20000</v>
      </c>
      <c r="E13" s="514">
        <f>+D13/P13*(CALC!$A$4)</f>
        <v>235000</v>
      </c>
      <c r="F13" s="28">
        <v>23400</v>
      </c>
      <c r="G13" s="28">
        <f>CALC!$A$23*(I13/CEM!I$148)</f>
        <v>4293.1921110600133</v>
      </c>
      <c r="H13" s="28">
        <f>40000*(1+CALC!B$14)</f>
        <v>43200</v>
      </c>
      <c r="I13" s="28">
        <v>29097.919999999998</v>
      </c>
      <c r="J13" s="28"/>
      <c r="K13" s="522">
        <f>1932*(1+CALC!B$13)</f>
        <v>2163.84</v>
      </c>
      <c r="L13" s="28"/>
      <c r="M13" s="28">
        <f t="shared" ref="M13:M22" si="1">SUM(E13:L13)</f>
        <v>337154.95211106003</v>
      </c>
      <c r="N13" s="24">
        <f>M13/CALC!$A$8*CALC!$A$6</f>
        <v>6584.965263606171</v>
      </c>
      <c r="O13" s="28">
        <f t="shared" ref="O13:O22" si="2">+M13+N13</f>
        <v>343739.9173746662</v>
      </c>
      <c r="P13" s="37">
        <v>2</v>
      </c>
      <c r="Q13" s="38"/>
    </row>
    <row r="14" spans="1:17" x14ac:dyDescent="0.2">
      <c r="A14" s="482" t="str">
        <f>+'1-10'!C58</f>
        <v>NISSAN   UD 40A M02 [173]</v>
      </c>
      <c r="B14" s="508" t="str">
        <f>+'1-10'!R58</f>
        <v>CMJ 531 L</v>
      </c>
      <c r="C14" s="483">
        <v>657</v>
      </c>
      <c r="D14" s="6">
        <v>18000</v>
      </c>
      <c r="E14" s="514">
        <f>+D14/P14*(CALC!$A$4)</f>
        <v>211500</v>
      </c>
      <c r="F14" s="28">
        <v>23400</v>
      </c>
      <c r="G14" s="28">
        <f>CALC!$A$23*(I14/CEM!I$148)</f>
        <v>4293.1921110600133</v>
      </c>
      <c r="H14" s="28">
        <f>40000*(1+CALC!B$14)</f>
        <v>43200</v>
      </c>
      <c r="I14" s="28">
        <v>29097.919999999998</v>
      </c>
      <c r="J14" s="28"/>
      <c r="K14" s="522">
        <f>1932*(1+CALC!B$13)</f>
        <v>2163.84</v>
      </c>
      <c r="L14" s="28"/>
      <c r="M14" s="28">
        <f t="shared" si="1"/>
        <v>313654.95211106003</v>
      </c>
      <c r="N14" s="24">
        <f>M14/CALC!$A$8*CALC!$A$6</f>
        <v>6125.9873286068041</v>
      </c>
      <c r="O14" s="28">
        <f t="shared" si="2"/>
        <v>319780.93943966686</v>
      </c>
      <c r="P14" s="37">
        <v>2</v>
      </c>
      <c r="Q14" s="38"/>
    </row>
    <row r="15" spans="1:17" x14ac:dyDescent="0.2">
      <c r="A15" s="482" t="str">
        <f>+'1-10'!C59</f>
        <v>NISSAN   UD 40A M02 [173]</v>
      </c>
      <c r="B15" s="508" t="str">
        <f>+'1-10'!R59</f>
        <v>CMS 102 L</v>
      </c>
      <c r="C15" s="483">
        <v>658</v>
      </c>
      <c r="D15" s="6">
        <v>10000</v>
      </c>
      <c r="E15" s="514">
        <f>+D15/P15*(CALC!$A$4)</f>
        <v>117500</v>
      </c>
      <c r="F15" s="28">
        <v>23400</v>
      </c>
      <c r="G15" s="28">
        <f>CALC!$A$23*(I15/CEM!I$148)</f>
        <v>4293.1921110600133</v>
      </c>
      <c r="H15" s="28">
        <f>40000*(1+CALC!B$14)</f>
        <v>43200</v>
      </c>
      <c r="I15" s="28">
        <v>29097.919999999998</v>
      </c>
      <c r="J15" s="28"/>
      <c r="K15" s="522">
        <f>1932*(1+CALC!B$13)</f>
        <v>2163.84</v>
      </c>
      <c r="L15" s="28"/>
      <c r="M15" s="28">
        <f t="shared" si="1"/>
        <v>219654.95211106</v>
      </c>
      <c r="N15" s="24">
        <f>M15/CALC!$A$8*CALC!$A$6</f>
        <v>4290.075588609332</v>
      </c>
      <c r="O15" s="28">
        <f t="shared" si="2"/>
        <v>223945.02769966933</v>
      </c>
      <c r="P15" s="37">
        <v>2</v>
      </c>
      <c r="Q15" s="38"/>
    </row>
    <row r="16" spans="1:17" x14ac:dyDescent="0.2">
      <c r="A16" s="503" t="str">
        <f>+'1-10'!C60</f>
        <v>NISSAN   UD 40A M02 [173]</v>
      </c>
      <c r="B16" s="503" t="str">
        <f>+'1-10'!R60</f>
        <v>CMJ 538 L</v>
      </c>
      <c r="C16" s="504">
        <v>659</v>
      </c>
      <c r="D16" s="6">
        <v>0</v>
      </c>
      <c r="E16" s="47">
        <f>+D16/P16*(CALC!$A$4)</f>
        <v>0</v>
      </c>
      <c r="F16" s="28">
        <v>0</v>
      </c>
      <c r="G16" s="28">
        <f>CALC!$A$23*(I16/CEM!I$148)</f>
        <v>0</v>
      </c>
      <c r="H16" s="28">
        <v>0</v>
      </c>
      <c r="I16" s="480">
        <v>0</v>
      </c>
      <c r="J16" s="28"/>
      <c r="K16" s="28">
        <v>0</v>
      </c>
      <c r="L16" s="28"/>
      <c r="M16" s="28">
        <f t="shared" si="1"/>
        <v>0</v>
      </c>
      <c r="N16" s="24">
        <f>M16/CALC!$A$8*CALC!$A$6</f>
        <v>0</v>
      </c>
      <c r="O16" s="28">
        <f t="shared" si="2"/>
        <v>0</v>
      </c>
      <c r="P16" s="37">
        <v>2</v>
      </c>
      <c r="Q16" s="38"/>
    </row>
    <row r="17" spans="1:17" x14ac:dyDescent="0.2">
      <c r="A17" s="482" t="str">
        <f>+'1-10'!C63</f>
        <v>NISSAN   UD 40A M02 [073]</v>
      </c>
      <c r="B17" s="508" t="str">
        <f>+'1-10'!R63</f>
        <v>CMJ 511 L</v>
      </c>
      <c r="C17" s="483">
        <v>662</v>
      </c>
      <c r="D17" s="6">
        <v>15000</v>
      </c>
      <c r="E17" s="514">
        <f>+D17/P17*(CALC!$A$4)</f>
        <v>176250</v>
      </c>
      <c r="F17" s="28">
        <v>23400</v>
      </c>
      <c r="G17" s="28">
        <f>CALC!$A$23*(I17/CEM!I$148)</f>
        <v>4326.3317265399237</v>
      </c>
      <c r="H17" s="28">
        <f>40000*(1+CALC!B$14)</f>
        <v>43200</v>
      </c>
      <c r="I17" s="28">
        <v>29322.53</v>
      </c>
      <c r="J17" s="28"/>
      <c r="K17" s="522">
        <f>1932*(1+CALC!B$13)</f>
        <v>2163.84</v>
      </c>
      <c r="L17" s="28"/>
      <c r="M17" s="28">
        <f t="shared" si="1"/>
        <v>278662.70172653993</v>
      </c>
      <c r="N17" s="24">
        <f>M17/CALC!$A$8*CALC!$A$6</f>
        <v>5442.5545276507246</v>
      </c>
      <c r="O17" s="28">
        <f t="shared" si="2"/>
        <v>284105.25625419064</v>
      </c>
      <c r="P17" s="37">
        <v>2</v>
      </c>
      <c r="Q17" s="38"/>
    </row>
    <row r="18" spans="1:17" x14ac:dyDescent="0.2">
      <c r="A18" s="482" t="str">
        <f>+'1-10'!C64</f>
        <v>NISSAN   UD 40A M02 [173]</v>
      </c>
      <c r="B18" s="508" t="str">
        <f>+'1-10'!R64</f>
        <v>CNN 494 L</v>
      </c>
      <c r="C18" s="483">
        <v>663</v>
      </c>
      <c r="D18" s="6">
        <v>10000</v>
      </c>
      <c r="E18" s="514">
        <f>+D18/P18*(CALC!$A$4)</f>
        <v>117500</v>
      </c>
      <c r="F18" s="28">
        <v>23400</v>
      </c>
      <c r="G18" s="28">
        <f>CALC!$A$23*(I18/CEM!I$148)</f>
        <v>3316.28534899636</v>
      </c>
      <c r="H18" s="28">
        <f>40000*(1+CALC!B$14)</f>
        <v>43200</v>
      </c>
      <c r="I18" s="28">
        <v>22476.75</v>
      </c>
      <c r="J18" s="28"/>
      <c r="K18" s="522">
        <f>1932*(1+CALC!B$13)</f>
        <v>2163.84</v>
      </c>
      <c r="L18" s="28"/>
      <c r="M18" s="28">
        <f t="shared" si="1"/>
        <v>212056.87534899634</v>
      </c>
      <c r="N18" s="24">
        <f>M18/CALC!$A$8*CALC!$A$6</f>
        <v>4141.6777340468361</v>
      </c>
      <c r="O18" s="28">
        <f t="shared" si="2"/>
        <v>216198.55308304317</v>
      </c>
      <c r="P18" s="37">
        <v>2</v>
      </c>
      <c r="Q18" s="38"/>
    </row>
    <row r="19" spans="1:17" x14ac:dyDescent="0.2">
      <c r="A19" s="482" t="str">
        <f>+'1-10'!C67</f>
        <v>NISSAN   UD 40A M02 [173]</v>
      </c>
      <c r="B19" s="508" t="str">
        <f>+'1-10'!R67</f>
        <v>CMS 094 L</v>
      </c>
      <c r="C19" s="483">
        <v>666</v>
      </c>
      <c r="D19" s="6">
        <v>25000</v>
      </c>
      <c r="E19" s="514">
        <f>+D19/P19*(CALC!$A$4)</f>
        <v>293750</v>
      </c>
      <c r="F19" s="28">
        <v>23400</v>
      </c>
      <c r="G19" s="28">
        <f>CALC!$A$23*(I19/CEM!I$148)</f>
        <v>4326.3317265399237</v>
      </c>
      <c r="H19" s="28">
        <f>40000*(1+CALC!B$14)</f>
        <v>43200</v>
      </c>
      <c r="I19" s="28">
        <v>29322.53</v>
      </c>
      <c r="J19" s="28"/>
      <c r="K19" s="522">
        <f>1932*(1+CALC!B$13)</f>
        <v>2163.84</v>
      </c>
      <c r="L19" s="28"/>
      <c r="M19" s="28">
        <f t="shared" si="1"/>
        <v>396162.70172653993</v>
      </c>
      <c r="N19" s="24">
        <f>M19/CALC!$A$8*CALC!$A$6</f>
        <v>7737.4442026475626</v>
      </c>
      <c r="O19" s="28">
        <f t="shared" si="2"/>
        <v>403900.14592918748</v>
      </c>
      <c r="P19" s="37">
        <v>2</v>
      </c>
      <c r="Q19" s="38"/>
    </row>
    <row r="20" spans="1:17" x14ac:dyDescent="0.2">
      <c r="A20" s="482" t="str">
        <f>+'1-10'!C71</f>
        <v>NISSAN   UD 40A M02 [173]</v>
      </c>
      <c r="B20" s="508" t="str">
        <f>+'1-10'!R71</f>
        <v>CMY 249 L</v>
      </c>
      <c r="C20" s="483">
        <v>670</v>
      </c>
      <c r="D20" s="6">
        <v>10000</v>
      </c>
      <c r="E20" s="514">
        <f>+D20/P20*(CALC!$A$4)</f>
        <v>117500</v>
      </c>
      <c r="F20" s="28">
        <v>23400</v>
      </c>
      <c r="G20" s="28">
        <f>CALC!$A$23*(I20/CEM!I$148)</f>
        <v>4417.6121054587438</v>
      </c>
      <c r="H20" s="28">
        <f>40000*(1+CALC!B$14)</f>
        <v>43200</v>
      </c>
      <c r="I20" s="28">
        <v>29941.200000000001</v>
      </c>
      <c r="J20" s="28"/>
      <c r="K20" s="522">
        <f>1932*(1+CALC!B$13)</f>
        <v>2163.84</v>
      </c>
      <c r="L20" s="28"/>
      <c r="M20" s="28">
        <f t="shared" si="1"/>
        <v>220622.65210545875</v>
      </c>
      <c r="N20" s="24">
        <f>M20/CALC!$A$8*CALC!$A$6</f>
        <v>4308.9757139339299</v>
      </c>
      <c r="O20" s="28">
        <f t="shared" si="2"/>
        <v>224931.62781939268</v>
      </c>
      <c r="P20" s="37">
        <v>2</v>
      </c>
      <c r="Q20" s="38"/>
    </row>
    <row r="21" spans="1:17" x14ac:dyDescent="0.2">
      <c r="A21" s="482" t="str">
        <f>+'1-10'!C72</f>
        <v>NISSAN   UD 40A M02 [173]</v>
      </c>
      <c r="B21" s="508" t="str">
        <f>+'1-10'!R72</f>
        <v>CNV 683 L</v>
      </c>
      <c r="C21" s="483">
        <v>671</v>
      </c>
      <c r="D21" s="6">
        <v>10000</v>
      </c>
      <c r="E21" s="514">
        <f>+D21/P21*(CALC!$A$4)</f>
        <v>117500</v>
      </c>
      <c r="F21" s="28">
        <v>23400</v>
      </c>
      <c r="G21" s="28">
        <f>CALC!$A$23*(I21/CEM!I$148)</f>
        <v>3316.28534899636</v>
      </c>
      <c r="H21" s="28">
        <f>40000*(1+CALC!B$14)</f>
        <v>43200</v>
      </c>
      <c r="I21" s="28">
        <v>22476.75</v>
      </c>
      <c r="J21" s="28"/>
      <c r="K21" s="522">
        <f>1932*(1+CALC!B$13)</f>
        <v>2163.84</v>
      </c>
      <c r="L21" s="28"/>
      <c r="M21" s="28">
        <f t="shared" si="1"/>
        <v>212056.87534899634</v>
      </c>
      <c r="N21" s="24">
        <f>M21/CALC!$A$8*CALC!$A$6</f>
        <v>4141.6777340468361</v>
      </c>
      <c r="O21" s="28">
        <f t="shared" si="2"/>
        <v>216198.55308304317</v>
      </c>
      <c r="P21" s="37">
        <v>2</v>
      </c>
      <c r="Q21" s="38"/>
    </row>
    <row r="22" spans="1:17" x14ac:dyDescent="0.2">
      <c r="A22" s="482" t="str">
        <f>+'1-10'!C73</f>
        <v>NISSAN   UD 40A M02 [173]</v>
      </c>
      <c r="B22" s="508" t="str">
        <f>+'1-10'!R73</f>
        <v>CNN 483 L</v>
      </c>
      <c r="C22" s="483">
        <v>672</v>
      </c>
      <c r="D22" s="6">
        <v>10000</v>
      </c>
      <c r="E22" s="514">
        <f>+D22/P22*(CALC!$A$4)</f>
        <v>117500</v>
      </c>
      <c r="F22" s="28">
        <v>23400</v>
      </c>
      <c r="G22" s="28">
        <f>CALC!$A$23*(I22/CEM!I$148)</f>
        <v>3316.28534899636</v>
      </c>
      <c r="H22" s="28">
        <f>40000*(1+CALC!B$14)</f>
        <v>43200</v>
      </c>
      <c r="I22" s="28">
        <v>22476.75</v>
      </c>
      <c r="J22" s="28"/>
      <c r="K22" s="522">
        <f>1932*(1+CALC!B$13)</f>
        <v>2163.84</v>
      </c>
      <c r="L22" s="28"/>
      <c r="M22" s="28">
        <f t="shared" si="1"/>
        <v>212056.87534899634</v>
      </c>
      <c r="N22" s="24">
        <f>M22/CALC!$A$8*CALC!$A$6</f>
        <v>4141.6777340468361</v>
      </c>
      <c r="O22" s="28">
        <f t="shared" si="2"/>
        <v>216198.55308304317</v>
      </c>
      <c r="P22" s="37">
        <v>2</v>
      </c>
      <c r="Q22" s="38"/>
    </row>
    <row r="23" spans="1:17" x14ac:dyDescent="0.2">
      <c r="A23" s="8"/>
      <c r="B23" s="8"/>
      <c r="C23" s="14"/>
      <c r="D23" s="6"/>
      <c r="E23" s="47"/>
      <c r="F23" s="28"/>
      <c r="G23" s="28"/>
      <c r="H23" s="28"/>
      <c r="I23" s="28"/>
      <c r="J23" s="28"/>
      <c r="K23" s="28"/>
      <c r="L23" s="28"/>
      <c r="M23" s="28"/>
      <c r="N23" s="24"/>
      <c r="O23" s="28"/>
      <c r="P23" s="37"/>
      <c r="Q23" s="38"/>
    </row>
    <row r="24" spans="1:17" s="7" customFormat="1" x14ac:dyDescent="0.2">
      <c r="A24" s="3"/>
      <c r="B24" s="3" t="s">
        <v>14</v>
      </c>
      <c r="C24" s="18"/>
      <c r="D24" s="12">
        <f t="shared" ref="D24:M24" si="3">SUM(D13:D23)</f>
        <v>128000</v>
      </c>
      <c r="E24" s="10">
        <f t="shared" si="3"/>
        <v>1504000</v>
      </c>
      <c r="F24" s="10">
        <f t="shared" si="3"/>
        <v>210600</v>
      </c>
      <c r="G24" s="10">
        <f t="shared" si="3"/>
        <v>35898.70793870771</v>
      </c>
      <c r="H24" s="10">
        <f t="shared" si="3"/>
        <v>388800</v>
      </c>
      <c r="I24" s="10">
        <f t="shared" si="3"/>
        <v>243310.27</v>
      </c>
      <c r="J24" s="10">
        <f t="shared" si="3"/>
        <v>0</v>
      </c>
      <c r="K24" s="10">
        <f t="shared" si="3"/>
        <v>19474.560000000001</v>
      </c>
      <c r="L24" s="10">
        <f t="shared" si="3"/>
        <v>0</v>
      </c>
      <c r="M24" s="10">
        <f t="shared" si="3"/>
        <v>2402083.537938708</v>
      </c>
      <c r="N24" s="10">
        <f>M24/CALC!$A$8*CALC!$A$6</f>
        <v>46915.035827195039</v>
      </c>
      <c r="O24" s="10">
        <f>+M24+N24</f>
        <v>2448998.5737659028</v>
      </c>
      <c r="P24" s="25"/>
      <c r="Q24" s="110">
        <f>(+O24/D24)*(1+CALC!$A$3)</f>
        <v>19.132801357546114</v>
      </c>
    </row>
    <row r="26" spans="1:17" ht="10.8" thickBot="1" x14ac:dyDescent="0.25"/>
    <row r="27" spans="1:17" ht="10.8" thickBot="1" x14ac:dyDescent="0.25">
      <c r="A27" s="283" t="s">
        <v>10</v>
      </c>
      <c r="B27" s="284" t="s">
        <v>436</v>
      </c>
      <c r="D27" s="556" t="s">
        <v>212</v>
      </c>
      <c r="E27" s="557"/>
      <c r="F27" s="558"/>
    </row>
    <row r="28" spans="1:17" x14ac:dyDescent="0.2">
      <c r="Q28" s="16"/>
    </row>
    <row r="29" spans="1:17" s="477" customFormat="1" x14ac:dyDescent="0.2">
      <c r="A29" s="544" t="str">
        <f>+'1-10'!C29</f>
        <v>NISSAN NP 300 4X4 [173]</v>
      </c>
      <c r="B29" s="510" t="str">
        <f>+'1-10'!R29</f>
        <v>CLW 529 L</v>
      </c>
      <c r="C29" s="511" t="s">
        <v>282</v>
      </c>
      <c r="D29" s="473">
        <v>10000</v>
      </c>
      <c r="E29" s="515">
        <f>+D29/P29*(CALC!$A$4)</f>
        <v>25852.585258525851</v>
      </c>
      <c r="F29" s="474">
        <v>23400</v>
      </c>
      <c r="G29" s="28">
        <f>CALC!$A$23*(I29/CEM!I$148)</f>
        <v>3523.0726544578865</v>
      </c>
      <c r="H29" s="474">
        <f>8000*(1+CALC!B$14)</f>
        <v>8640</v>
      </c>
      <c r="I29" s="474">
        <v>23878.29</v>
      </c>
      <c r="J29" s="474"/>
      <c r="K29" s="523">
        <f>678*(1+CALC!B$13)</f>
        <v>759.36000000000013</v>
      </c>
      <c r="L29" s="474"/>
      <c r="M29" s="474">
        <f t="shared" ref="M29:M48" si="4">SUM(E29:L29)</f>
        <v>86053.307912983742</v>
      </c>
      <c r="N29" s="474">
        <f>M29/CALC!$A$8*CALC!$A$6</f>
        <v>1680.7050879049373</v>
      </c>
      <c r="O29" s="474">
        <f t="shared" ref="O29:O48" si="5">+M29+N29</f>
        <v>87734.013000888677</v>
      </c>
      <c r="P29" s="475">
        <v>9.09</v>
      </c>
      <c r="Q29" s="476"/>
    </row>
    <row r="30" spans="1:17" x14ac:dyDescent="0.2">
      <c r="A30" s="488" t="s">
        <v>1573</v>
      </c>
      <c r="B30" s="541" t="s">
        <v>1574</v>
      </c>
      <c r="C30" s="553"/>
      <c r="D30" s="552">
        <v>25000</v>
      </c>
      <c r="E30" s="514">
        <f>+D30/P30*(CALC!$A$4)</f>
        <v>64631.463146314629</v>
      </c>
      <c r="F30" s="554">
        <v>23400</v>
      </c>
      <c r="G30" s="549">
        <f>CALC!$A$23*(I30/CEM!I$148)</f>
        <v>0</v>
      </c>
      <c r="H30" s="549">
        <v>25000</v>
      </c>
      <c r="I30" s="549">
        <v>0</v>
      </c>
      <c r="J30" s="549"/>
      <c r="K30" s="523">
        <f>678*(1+CALC!B$13)</f>
        <v>759.36000000000013</v>
      </c>
      <c r="L30" s="549"/>
      <c r="M30" s="549">
        <f t="shared" si="4"/>
        <v>113790.82314631464</v>
      </c>
      <c r="N30" s="549">
        <f>M30/CALC!$A$8*CALC!$A$6</f>
        <v>2222.4458310456907</v>
      </c>
      <c r="O30" s="549">
        <f t="shared" si="5"/>
        <v>116013.26897736033</v>
      </c>
      <c r="P30" s="37">
        <v>9.09</v>
      </c>
      <c r="Q30" s="38"/>
    </row>
    <row r="31" spans="1:17" x14ac:dyDescent="0.2">
      <c r="A31" s="488" t="s">
        <v>1575</v>
      </c>
      <c r="B31" s="541" t="s">
        <v>1576</v>
      </c>
      <c r="C31" s="553"/>
      <c r="D31" s="552">
        <v>25000</v>
      </c>
      <c r="E31" s="514">
        <f>+D31/P31*(CALC!$A$4)</f>
        <v>64631.463146314629</v>
      </c>
      <c r="F31" s="554">
        <v>23400</v>
      </c>
      <c r="G31" s="549"/>
      <c r="H31" s="549">
        <v>25000</v>
      </c>
      <c r="I31" s="549"/>
      <c r="J31" s="549"/>
      <c r="K31" s="523">
        <f>678*(1+CALC!B$13)</f>
        <v>759.36000000000013</v>
      </c>
      <c r="L31" s="549"/>
      <c r="M31" s="549"/>
      <c r="N31" s="549"/>
      <c r="O31" s="549"/>
      <c r="P31" s="37">
        <v>9.09</v>
      </c>
      <c r="Q31" s="38"/>
    </row>
    <row r="32" spans="1:17" x14ac:dyDescent="0.2">
      <c r="A32" s="545" t="str">
        <f>+'1-10'!C31</f>
        <v>NISSAN NP 300 4X4 [173]</v>
      </c>
      <c r="B32" s="541" t="str">
        <f>+'1-10'!R31</f>
        <v>CLW 563 L</v>
      </c>
      <c r="C32" s="489" t="s">
        <v>214</v>
      </c>
      <c r="D32" s="6">
        <v>30000</v>
      </c>
      <c r="E32" s="514">
        <f>+D32/P32*(CALC!$A$4)</f>
        <v>77557.755775577563</v>
      </c>
      <c r="F32" s="28">
        <v>23400</v>
      </c>
      <c r="G32" s="28">
        <f>CALC!$A$23*(I32/CEM!I$148)</f>
        <v>3530.4320953560559</v>
      </c>
      <c r="H32" s="28">
        <f>58000*(1+CALC!B$14)</f>
        <v>62640.000000000007</v>
      </c>
      <c r="I32" s="28">
        <v>23928.17</v>
      </c>
      <c r="J32" s="28"/>
      <c r="K32" s="523">
        <f>678*(1+CALC!B$13)</f>
        <v>759.36000000000013</v>
      </c>
      <c r="L32" s="28"/>
      <c r="M32" s="28">
        <f t="shared" si="4"/>
        <v>191815.71787093359</v>
      </c>
      <c r="N32" s="28">
        <f>M32/CALC!$A$8*CALC!$A$6</f>
        <v>3746.3481739924428</v>
      </c>
      <c r="O32" s="28">
        <f t="shared" si="5"/>
        <v>195562.06604492603</v>
      </c>
      <c r="P32" s="37">
        <v>9.09</v>
      </c>
      <c r="Q32" s="38"/>
    </row>
    <row r="33" spans="1:17" s="477" customFormat="1" x14ac:dyDescent="0.2">
      <c r="A33" s="544" t="str">
        <f>+'1-10'!C32</f>
        <v>NISSAN NP 300 4X4 [173]</v>
      </c>
      <c r="B33" s="510" t="str">
        <f>+'1-10'!R32</f>
        <v>CLW 565 L</v>
      </c>
      <c r="C33" s="493" t="s">
        <v>215</v>
      </c>
      <c r="D33" s="473">
        <v>10000</v>
      </c>
      <c r="E33" s="515">
        <f>+D33/P33*(CALC!$A$4)</f>
        <v>25852.585258525851</v>
      </c>
      <c r="F33" s="28">
        <v>23400</v>
      </c>
      <c r="G33" s="28">
        <f>CALC!$A$23*(I33/CEM!I$148)</f>
        <v>3530.4320953560559</v>
      </c>
      <c r="H33" s="474">
        <f>8000*(1+CALC!B$14)</f>
        <v>8640</v>
      </c>
      <c r="I33" s="474">
        <v>23928.17</v>
      </c>
      <c r="J33" s="474"/>
      <c r="K33" s="523">
        <f>678*(1+CALC!B$13)</f>
        <v>759.36000000000013</v>
      </c>
      <c r="L33" s="474"/>
      <c r="M33" s="474">
        <f t="shared" si="4"/>
        <v>86110.547353881906</v>
      </c>
      <c r="N33" s="474">
        <f>M33/CALC!$A$8*CALC!$A$6</f>
        <v>1681.8230300489352</v>
      </c>
      <c r="O33" s="474">
        <f t="shared" si="5"/>
        <v>87792.370383930844</v>
      </c>
      <c r="P33" s="475">
        <v>9.09</v>
      </c>
      <c r="Q33" s="476"/>
    </row>
    <row r="34" spans="1:17" s="477" customFormat="1" x14ac:dyDescent="0.2">
      <c r="A34" s="544" t="str">
        <f>+'1-10'!C33</f>
        <v>NISSAN NP 300 4X4 [173]</v>
      </c>
      <c r="B34" s="510" t="s">
        <v>1461</v>
      </c>
      <c r="C34" s="506"/>
      <c r="D34" s="473">
        <v>25000</v>
      </c>
      <c r="E34" s="515">
        <f>+D34/P34*(CALC!$A$4)</f>
        <v>64631.463146314629</v>
      </c>
      <c r="F34" s="28">
        <v>23400</v>
      </c>
      <c r="G34" s="28">
        <f>CALC!$A$23*(I34/CEM!I$148)</f>
        <v>0</v>
      </c>
      <c r="H34" s="474">
        <f>10000*(1+CALC!B$14)</f>
        <v>10800</v>
      </c>
      <c r="I34" s="474">
        <v>0</v>
      </c>
      <c r="J34" s="474"/>
      <c r="K34" s="523">
        <f>678*(1+CALC!B$13)</f>
        <v>759.36000000000013</v>
      </c>
      <c r="L34" s="474"/>
      <c r="M34" s="474">
        <f t="shared" si="4"/>
        <v>99590.823146314637</v>
      </c>
      <c r="N34" s="474">
        <f>M34/CALC!$A$8*CALC!$A$6</f>
        <v>1945.1059724503284</v>
      </c>
      <c r="O34" s="474">
        <f t="shared" si="5"/>
        <v>101535.92911876497</v>
      </c>
      <c r="P34" s="475">
        <v>9.09</v>
      </c>
      <c r="Q34" s="476"/>
    </row>
    <row r="35" spans="1:17" s="477" customFormat="1" x14ac:dyDescent="0.2">
      <c r="A35" s="544" t="str">
        <f>+'1-10'!C34</f>
        <v>NISSAN NP 300 4X4 [173]</v>
      </c>
      <c r="B35" s="510" t="s">
        <v>1462</v>
      </c>
      <c r="C35" s="506"/>
      <c r="D35" s="473">
        <v>25000</v>
      </c>
      <c r="E35" s="515">
        <f>+D35/P35*(CALC!$A$4)</f>
        <v>64631.463146314629</v>
      </c>
      <c r="F35" s="28">
        <v>23400</v>
      </c>
      <c r="G35" s="28">
        <f>CALC!$A$23*(I35/CEM!I$148)</f>
        <v>0</v>
      </c>
      <c r="H35" s="474">
        <f>10000*(1+CALC!B$14)</f>
        <v>10800</v>
      </c>
      <c r="I35" s="474">
        <v>0</v>
      </c>
      <c r="J35" s="474"/>
      <c r="K35" s="523">
        <f>678*(1+CALC!B$13)</f>
        <v>759.36000000000013</v>
      </c>
      <c r="L35" s="474"/>
      <c r="M35" s="474">
        <f t="shared" si="4"/>
        <v>99590.823146314637</v>
      </c>
      <c r="N35" s="474">
        <f>M35/CALC!$A$8*CALC!$A$6</f>
        <v>1945.1059724503284</v>
      </c>
      <c r="O35" s="474">
        <f t="shared" si="5"/>
        <v>101535.92911876497</v>
      </c>
      <c r="P35" s="475">
        <v>9.09</v>
      </c>
      <c r="Q35" s="476"/>
    </row>
    <row r="36" spans="1:17" x14ac:dyDescent="0.2">
      <c r="A36" s="545" t="str">
        <f>+'1-10'!C35</f>
        <v>NISSAN NP 300 4X4 [173]</v>
      </c>
      <c r="B36" s="541" t="s">
        <v>1463</v>
      </c>
      <c r="C36" s="507"/>
      <c r="D36" s="473">
        <v>25000</v>
      </c>
      <c r="E36" s="514">
        <f>+D36/P36*(CALC!$A$4)</f>
        <v>64631.463146314629</v>
      </c>
      <c r="F36" s="28">
        <v>23400</v>
      </c>
      <c r="G36" s="28">
        <f>CALC!$A$23*(I36/CEM!I$148)</f>
        <v>0</v>
      </c>
      <c r="H36" s="474">
        <f>10000*(1+CALC!B$14)</f>
        <v>10800</v>
      </c>
      <c r="I36" s="28">
        <v>0</v>
      </c>
      <c r="J36" s="28"/>
      <c r="K36" s="523">
        <f>678*(1+CALC!B$13)</f>
        <v>759.36000000000013</v>
      </c>
      <c r="L36" s="28"/>
      <c r="M36" s="28">
        <f t="shared" si="4"/>
        <v>99590.823146314637</v>
      </c>
      <c r="N36" s="28">
        <f>M36/CALC!$A$8*CALC!$A$6</f>
        <v>1945.1059724503284</v>
      </c>
      <c r="O36" s="28">
        <f t="shared" si="5"/>
        <v>101535.92911876497</v>
      </c>
      <c r="P36" s="37">
        <v>9.09</v>
      </c>
      <c r="Q36" s="38"/>
    </row>
    <row r="37" spans="1:17" s="477" customFormat="1" x14ac:dyDescent="0.2">
      <c r="A37" s="545" t="str">
        <f>+'1-10'!C36</f>
        <v>NISSAN NP 300 4X4 [173]</v>
      </c>
      <c r="B37" s="541" t="s">
        <v>1464</v>
      </c>
      <c r="C37" s="506"/>
      <c r="D37" s="473">
        <v>25000</v>
      </c>
      <c r="E37" s="515">
        <f>+D37/P37*(CALC!$A$4)</f>
        <v>64631.463146314629</v>
      </c>
      <c r="F37" s="28">
        <v>23400</v>
      </c>
      <c r="G37" s="28">
        <f>CALC!$A$23*(I37/CEM!I$148)</f>
        <v>0</v>
      </c>
      <c r="H37" s="474">
        <f>10000*(1+CALC!B$14)</f>
        <v>10800</v>
      </c>
      <c r="I37" s="474">
        <v>0</v>
      </c>
      <c r="J37" s="474"/>
      <c r="K37" s="523">
        <f>678*(1+CALC!B$13)</f>
        <v>759.36000000000013</v>
      </c>
      <c r="L37" s="474"/>
      <c r="M37" s="474">
        <f t="shared" si="4"/>
        <v>99590.823146314637</v>
      </c>
      <c r="N37" s="474">
        <f>M37/CALC!$A$8*CALC!$A$6</f>
        <v>1945.1059724503284</v>
      </c>
      <c r="O37" s="474">
        <f t="shared" si="5"/>
        <v>101535.92911876497</v>
      </c>
      <c r="P37" s="475">
        <v>9.09</v>
      </c>
      <c r="Q37" s="476"/>
    </row>
    <row r="38" spans="1:17" s="477" customFormat="1" ht="13.2" x14ac:dyDescent="0.25">
      <c r="A38" s="492" t="s">
        <v>1561</v>
      </c>
      <c r="B38" s="543" t="s">
        <v>1571</v>
      </c>
      <c r="C38" s="506"/>
      <c r="D38" s="494">
        <v>25000</v>
      </c>
      <c r="E38" s="515">
        <f>+D38/P38*(CALC!$A$4)</f>
        <v>64631.463146314629</v>
      </c>
      <c r="F38" s="28">
        <v>23400</v>
      </c>
      <c r="G38" s="28">
        <f>CALC!$A$23*(I38/CEM!I$148)</f>
        <v>0</v>
      </c>
      <c r="H38" s="474">
        <f>30000*(1+CALC!B$14)</f>
        <v>32400.000000000004</v>
      </c>
      <c r="I38" s="474">
        <v>0</v>
      </c>
      <c r="J38" s="474"/>
      <c r="K38" s="523">
        <f>678*(1+CALC!B$13)</f>
        <v>759.36000000000013</v>
      </c>
      <c r="L38" s="474"/>
      <c r="M38" s="474">
        <f t="shared" si="4"/>
        <v>121190.82314631464</v>
      </c>
      <c r="N38" s="474">
        <f>M38/CALC!$A$8*CALC!$A$6</f>
        <v>2366.9750531305981</v>
      </c>
      <c r="O38" s="474">
        <f t="shared" si="5"/>
        <v>123557.79819944524</v>
      </c>
      <c r="P38" s="475">
        <v>9.09</v>
      </c>
      <c r="Q38" s="476"/>
    </row>
    <row r="39" spans="1:17" ht="13.2" x14ac:dyDescent="0.25">
      <c r="A39" s="488" t="s">
        <v>1561</v>
      </c>
      <c r="B39" s="543" t="s">
        <v>1572</v>
      </c>
      <c r="C39" s="507"/>
      <c r="D39" s="505">
        <v>25000</v>
      </c>
      <c r="E39" s="47">
        <f>+D39/P39*(CALC!$A$4)</f>
        <v>64631.463146314629</v>
      </c>
      <c r="F39" s="28">
        <v>23400</v>
      </c>
      <c r="G39" s="28">
        <f>CALC!$A$23*(I39/CEM!I$148)</f>
        <v>0</v>
      </c>
      <c r="H39" s="474">
        <f>30000*(1+CALC!B$14)</f>
        <v>32400.000000000004</v>
      </c>
      <c r="I39" s="28">
        <v>0</v>
      </c>
      <c r="J39" s="28"/>
      <c r="K39" s="523">
        <f>678*(1+CALC!B$13)</f>
        <v>759.36000000000013</v>
      </c>
      <c r="L39" s="28"/>
      <c r="M39" s="28">
        <f t="shared" si="4"/>
        <v>121190.82314631464</v>
      </c>
      <c r="N39" s="28">
        <f>M39/CALC!$A$8*CALC!$A$6</f>
        <v>2366.9750531305981</v>
      </c>
      <c r="O39" s="28">
        <f t="shared" si="5"/>
        <v>123557.79819944524</v>
      </c>
      <c r="P39" s="37">
        <v>9.09</v>
      </c>
      <c r="Q39" s="38"/>
    </row>
    <row r="40" spans="1:17" x14ac:dyDescent="0.2">
      <c r="A40" s="545" t="str">
        <f>+'1-10'!C39</f>
        <v>NISSAN NP 300 4X4 [173]</v>
      </c>
      <c r="B40" s="541" t="str">
        <f>+'1-10'!R39</f>
        <v>CLW 840 L</v>
      </c>
      <c r="C40" s="489" t="s">
        <v>222</v>
      </c>
      <c r="D40" s="6">
        <v>0</v>
      </c>
      <c r="E40" s="47">
        <f>+D40/P40*(CALC!$A$4)</f>
        <v>0</v>
      </c>
      <c r="F40" s="28"/>
      <c r="G40" s="28"/>
      <c r="H40" s="28"/>
      <c r="I40" s="28"/>
      <c r="J40" s="28"/>
      <c r="K40" s="523"/>
      <c r="L40" s="28"/>
      <c r="M40" s="28">
        <f t="shared" si="4"/>
        <v>0</v>
      </c>
      <c r="N40" s="28">
        <f>M40/CALC!$A$8*CALC!$A$6</f>
        <v>0</v>
      </c>
      <c r="O40" s="28">
        <f t="shared" si="5"/>
        <v>0</v>
      </c>
      <c r="P40" s="37">
        <v>9.09</v>
      </c>
      <c r="Q40" s="38"/>
    </row>
    <row r="41" spans="1:17" x14ac:dyDescent="0.2">
      <c r="A41" s="545" t="str">
        <f>+'1-10'!C40</f>
        <v>NISSAN NP 300 4X4 [173]</v>
      </c>
      <c r="B41" s="541" t="str">
        <f>+'1-10'!R40</f>
        <v>CLW 864 L</v>
      </c>
      <c r="C41" s="489" t="s">
        <v>223</v>
      </c>
      <c r="D41" s="6">
        <v>30000</v>
      </c>
      <c r="E41" s="514">
        <f>+D41/P41*(CALC!$A$4)</f>
        <v>77557.755775577563</v>
      </c>
      <c r="F41" s="28">
        <v>23400</v>
      </c>
      <c r="G41" s="28">
        <f>CALC!$A$23*(I41/CEM!I$148)</f>
        <v>3530.4320953560559</v>
      </c>
      <c r="H41" s="28">
        <f>58000*(1+CALC!B$14)</f>
        <v>62640.000000000007</v>
      </c>
      <c r="I41" s="28">
        <v>23928.17</v>
      </c>
      <c r="J41" s="28"/>
      <c r="K41" s="523">
        <f>678*(1+CALC!B$13)</f>
        <v>759.36000000000013</v>
      </c>
      <c r="L41" s="28"/>
      <c r="M41" s="28">
        <f t="shared" si="4"/>
        <v>191815.71787093359</v>
      </c>
      <c r="N41" s="28">
        <f>M41/CALC!$A$8*CALC!$A$6</f>
        <v>3746.3481739924428</v>
      </c>
      <c r="O41" s="28">
        <f t="shared" si="5"/>
        <v>195562.06604492603</v>
      </c>
      <c r="P41" s="37">
        <v>9.09</v>
      </c>
      <c r="Q41" s="38"/>
    </row>
    <row r="42" spans="1:17" x14ac:dyDescent="0.2">
      <c r="A42" s="488" t="s">
        <v>1573</v>
      </c>
      <c r="B42" s="541" t="s">
        <v>1577</v>
      </c>
      <c r="C42" s="553"/>
      <c r="D42" s="552">
        <v>25000</v>
      </c>
      <c r="E42" s="514">
        <f>+D42/P42*(CALC!$A$4)</f>
        <v>64631.463146314629</v>
      </c>
      <c r="F42" s="549">
        <v>23400</v>
      </c>
      <c r="G42" s="549">
        <f>CALC!$A$23*(I42/CEM!I$148)</f>
        <v>0</v>
      </c>
      <c r="H42" s="549">
        <v>25000</v>
      </c>
      <c r="I42" s="549">
        <v>0</v>
      </c>
      <c r="J42" s="549"/>
      <c r="K42" s="523">
        <f>678*(1+CALC!B$13)</f>
        <v>759.36000000000013</v>
      </c>
      <c r="L42" s="549"/>
      <c r="M42" s="549">
        <f t="shared" si="4"/>
        <v>113790.82314631464</v>
      </c>
      <c r="N42" s="549">
        <f>M42/CALC!$A$8*CALC!$A$6</f>
        <v>2222.4458310456907</v>
      </c>
      <c r="O42" s="549">
        <f t="shared" si="5"/>
        <v>116013.26897736033</v>
      </c>
      <c r="P42" s="37">
        <v>9.09</v>
      </c>
      <c r="Q42" s="38"/>
    </row>
    <row r="43" spans="1:17" x14ac:dyDescent="0.2">
      <c r="A43" s="8" t="s">
        <v>1453</v>
      </c>
      <c r="B43" s="508" t="s">
        <v>1454</v>
      </c>
      <c r="C43" s="509"/>
      <c r="D43" s="6">
        <v>30000</v>
      </c>
      <c r="E43" s="514">
        <f>+D43/P43*(CALC!$A$4)</f>
        <v>77557.755775577563</v>
      </c>
      <c r="F43" s="520">
        <v>23400</v>
      </c>
      <c r="G43" s="28">
        <f>CALC!$A$23*(I43/CEM!I$148)</f>
        <v>14754.292097373331</v>
      </c>
      <c r="H43" s="28">
        <f>20000*(1+CALC!B$14)</f>
        <v>21600</v>
      </c>
      <c r="I43" s="28">
        <v>100000</v>
      </c>
      <c r="J43" s="28"/>
      <c r="K43" s="523">
        <f>678*(1+CALC!B$13)</f>
        <v>759.36000000000013</v>
      </c>
      <c r="L43" s="28"/>
      <c r="M43" s="28">
        <f t="shared" ref="M43:M47" si="6">SUM(E43:L43)</f>
        <v>238071.40787295089</v>
      </c>
      <c r="N43" s="28">
        <f>M43/CALC!$A$8*CALC!$A$6</f>
        <v>4649.7669433157107</v>
      </c>
      <c r="O43" s="28">
        <f t="shared" ref="O43:O47" si="7">+M43+N43</f>
        <v>242721.1748162666</v>
      </c>
      <c r="P43" s="37">
        <v>9.09</v>
      </c>
      <c r="Q43" s="38"/>
    </row>
    <row r="44" spans="1:17" x14ac:dyDescent="0.2">
      <c r="A44" s="8" t="s">
        <v>1453</v>
      </c>
      <c r="B44" s="508" t="s">
        <v>1455</v>
      </c>
      <c r="C44" s="509"/>
      <c r="D44" s="6">
        <v>30000</v>
      </c>
      <c r="E44" s="514">
        <f>+D44/P44*(CALC!$A$4)</f>
        <v>77557.755775577563</v>
      </c>
      <c r="F44" s="520">
        <v>23400</v>
      </c>
      <c r="G44" s="28">
        <f>CALC!$A$23*(I44/CEM!I$148)</f>
        <v>14754.292097373331</v>
      </c>
      <c r="H44" s="28">
        <f>20000*(1+CALC!B$14)</f>
        <v>21600</v>
      </c>
      <c r="I44" s="28">
        <v>100000</v>
      </c>
      <c r="J44" s="28"/>
      <c r="K44" s="523">
        <f>678*(1+CALC!B$13)</f>
        <v>759.36000000000013</v>
      </c>
      <c r="L44" s="28"/>
      <c r="M44" s="28">
        <f t="shared" si="6"/>
        <v>238071.40787295089</v>
      </c>
      <c r="N44" s="28">
        <f>M44/CALC!$A$8*CALC!$A$6</f>
        <v>4649.7669433157107</v>
      </c>
      <c r="O44" s="28">
        <f t="shared" si="7"/>
        <v>242721.1748162666</v>
      </c>
      <c r="P44" s="37">
        <v>9.09</v>
      </c>
      <c r="Q44" s="38"/>
    </row>
    <row r="45" spans="1:17" x14ac:dyDescent="0.2">
      <c r="A45" s="488" t="s">
        <v>1573</v>
      </c>
      <c r="B45" s="508" t="s">
        <v>1578</v>
      </c>
      <c r="C45" s="551"/>
      <c r="D45" s="552">
        <v>25000</v>
      </c>
      <c r="E45" s="514">
        <f>+D45/P45*(CALC!$A$4)</f>
        <v>64631.463146314629</v>
      </c>
      <c r="F45" s="549">
        <v>23400</v>
      </c>
      <c r="G45" s="549">
        <f>CALC!$A$23*(I45/CEM!I$148)</f>
        <v>0</v>
      </c>
      <c r="H45" s="549">
        <v>25000</v>
      </c>
      <c r="I45" s="549">
        <v>0</v>
      </c>
      <c r="J45" s="549"/>
      <c r="K45" s="523">
        <f>678*(1+CALC!B$13)</f>
        <v>759.36000000000013</v>
      </c>
      <c r="L45" s="549"/>
      <c r="M45" s="549">
        <f t="shared" si="6"/>
        <v>113790.82314631464</v>
      </c>
      <c r="N45" s="549">
        <f>M45/CALC!$A$8*CALC!$A$6</f>
        <v>2222.4458310456907</v>
      </c>
      <c r="O45" s="549">
        <f t="shared" si="7"/>
        <v>116013.26897736033</v>
      </c>
      <c r="P45" s="37">
        <v>9.09</v>
      </c>
      <c r="Q45" s="38"/>
    </row>
    <row r="46" spans="1:17" x14ac:dyDescent="0.2">
      <c r="A46" s="8" t="s">
        <v>1453</v>
      </c>
      <c r="B46" s="536" t="s">
        <v>1456</v>
      </c>
      <c r="C46" s="14"/>
      <c r="D46" s="6">
        <v>0</v>
      </c>
      <c r="E46" s="514">
        <f>+D46/P46*(CALC!$A$4)</f>
        <v>0</v>
      </c>
      <c r="F46" s="520"/>
      <c r="G46" s="28"/>
      <c r="H46" s="28"/>
      <c r="I46" s="28"/>
      <c r="J46" s="28"/>
      <c r="K46" s="523"/>
      <c r="L46" s="28"/>
      <c r="M46" s="28"/>
      <c r="N46" s="28">
        <f>M46/CALC!$A$8*CALC!$A$6</f>
        <v>0</v>
      </c>
      <c r="O46" s="28">
        <f t="shared" si="7"/>
        <v>0</v>
      </c>
      <c r="P46" s="37">
        <v>9.09</v>
      </c>
      <c r="Q46" s="38"/>
    </row>
    <row r="47" spans="1:17" x14ac:dyDescent="0.2">
      <c r="A47" s="8" t="s">
        <v>1453</v>
      </c>
      <c r="B47" s="508" t="s">
        <v>1457</v>
      </c>
      <c r="C47" s="14"/>
      <c r="D47" s="6">
        <v>30000</v>
      </c>
      <c r="E47" s="514">
        <f>+D47/P47*(CALC!$A$4)</f>
        <v>77557.755775577563</v>
      </c>
      <c r="F47" s="520">
        <v>23400</v>
      </c>
      <c r="G47" s="28">
        <f>CALC!$A$23*(I47/CEM!I$148)</f>
        <v>14754.292097373331</v>
      </c>
      <c r="H47" s="28">
        <f>20000*(1+CALC!B$14)</f>
        <v>21600</v>
      </c>
      <c r="I47" s="28">
        <v>100000</v>
      </c>
      <c r="J47" s="28"/>
      <c r="K47" s="523">
        <f>678*(1+CALC!B$13)</f>
        <v>759.36000000000013</v>
      </c>
      <c r="L47" s="28"/>
      <c r="M47" s="28">
        <f t="shared" si="6"/>
        <v>238071.40787295089</v>
      </c>
      <c r="N47" s="28">
        <f>M47/CALC!$A$8*CALC!$A$6</f>
        <v>4649.7669433157107</v>
      </c>
      <c r="O47" s="28">
        <f t="shared" si="7"/>
        <v>242721.1748162666</v>
      </c>
      <c r="P47" s="37">
        <v>9.09</v>
      </c>
      <c r="Q47" s="38"/>
    </row>
    <row r="48" spans="1:17" x14ac:dyDescent="0.2">
      <c r="A48" s="545" t="str">
        <f>+'1-10'!C42</f>
        <v>NISSAN NP 300 4X4 [173]</v>
      </c>
      <c r="B48" s="541" t="str">
        <f>+'1-10'!R42</f>
        <v>CLW 849 L</v>
      </c>
      <c r="C48" s="489" t="s">
        <v>225</v>
      </c>
      <c r="D48" s="6">
        <v>30000</v>
      </c>
      <c r="E48" s="514">
        <f>+D48/P48*(CALC!$A$4)</f>
        <v>77557.755775577563</v>
      </c>
      <c r="F48" s="28">
        <v>23400</v>
      </c>
      <c r="G48" s="28">
        <f>CALC!$A$23*(I48/CEM!I$148)</f>
        <v>3523.0726544578865</v>
      </c>
      <c r="H48" s="28">
        <f>58000*(1+CALC!B$14)</f>
        <v>62640.000000000007</v>
      </c>
      <c r="I48" s="28">
        <v>23878.29</v>
      </c>
      <c r="J48" s="28"/>
      <c r="K48" s="523">
        <f>678*(1+CALC!B$13)</f>
        <v>759.36000000000013</v>
      </c>
      <c r="L48" s="28"/>
      <c r="M48" s="28">
        <f t="shared" si="4"/>
        <v>191758.47843003544</v>
      </c>
      <c r="N48" s="28">
        <f>M48/CALC!$A$8*CALC!$A$6</f>
        <v>3745.2302318484449</v>
      </c>
      <c r="O48" s="28">
        <f t="shared" si="5"/>
        <v>195503.70866188389</v>
      </c>
      <c r="P48" s="37">
        <v>9.09</v>
      </c>
      <c r="Q48" s="38"/>
    </row>
    <row r="49" spans="1:17" s="7" customFormat="1" x14ac:dyDescent="0.2">
      <c r="A49" s="3"/>
      <c r="B49" s="3" t="s">
        <v>14</v>
      </c>
      <c r="C49" s="18"/>
      <c r="D49" s="12">
        <f t="shared" ref="D49:M49" si="8">SUM(D29:D48)</f>
        <v>450000</v>
      </c>
      <c r="E49" s="10">
        <f t="shared" si="8"/>
        <v>1163366.3366336632</v>
      </c>
      <c r="F49" s="10">
        <f t="shared" si="8"/>
        <v>421200</v>
      </c>
      <c r="G49" s="10">
        <f t="shared" si="8"/>
        <v>61900.317887103934</v>
      </c>
      <c r="H49" s="10">
        <f t="shared" si="8"/>
        <v>478000</v>
      </c>
      <c r="I49" s="10">
        <f t="shared" si="8"/>
        <v>419541.08999999997</v>
      </c>
      <c r="J49" s="10">
        <f t="shared" si="8"/>
        <v>0</v>
      </c>
      <c r="K49" s="10">
        <f t="shared" si="8"/>
        <v>13668.480000000007</v>
      </c>
      <c r="L49" s="10">
        <f t="shared" si="8"/>
        <v>0</v>
      </c>
      <c r="M49" s="10">
        <f t="shared" si="8"/>
        <v>2443885.4013744527</v>
      </c>
      <c r="N49" s="10">
        <f>M49/CALC!$A$8*CALC!$A$6</f>
        <v>47731.467016933922</v>
      </c>
      <c r="O49" s="10">
        <f>+M49+N49</f>
        <v>2491616.8683913867</v>
      </c>
      <c r="P49" s="25"/>
      <c r="Q49" s="110">
        <f>(+O49/D49)*(1+CALC!$A$3)</f>
        <v>5.5369263742030812</v>
      </c>
    </row>
    <row r="50" spans="1:17" ht="10.8" thickBot="1" x14ac:dyDescent="0.25">
      <c r="Q50" s="16"/>
    </row>
    <row r="51" spans="1:17" ht="10.8" thickBot="1" x14ac:dyDescent="0.25">
      <c r="A51" s="283" t="s">
        <v>10</v>
      </c>
      <c r="B51" s="284" t="s">
        <v>109</v>
      </c>
      <c r="D51" s="556" t="s">
        <v>31</v>
      </c>
      <c r="E51" s="557"/>
      <c r="F51" s="558"/>
      <c r="Q51" s="16"/>
    </row>
    <row r="52" spans="1:17" x14ac:dyDescent="0.2">
      <c r="Q52" s="16"/>
    </row>
    <row r="53" spans="1:17" s="469" customFormat="1" x14ac:dyDescent="0.2">
      <c r="A53" s="462" t="s">
        <v>1480</v>
      </c>
      <c r="B53" s="462" t="s">
        <v>1481</v>
      </c>
      <c r="C53" s="333">
        <v>54</v>
      </c>
      <c r="D53" s="463">
        <v>10</v>
      </c>
      <c r="E53" s="470">
        <v>100</v>
      </c>
      <c r="F53" s="465">
        <v>3000</v>
      </c>
      <c r="G53" s="28">
        <f>CALC!$A$23*(I53/CEM!I$148)</f>
        <v>0</v>
      </c>
      <c r="H53" s="465">
        <f>1000*(1+CALC!B$14)</f>
        <v>1080</v>
      </c>
      <c r="I53" s="465"/>
      <c r="J53" s="465">
        <v>0</v>
      </c>
      <c r="K53" s="522">
        <f>168*(1+CALC!B$13)</f>
        <v>188.16000000000003</v>
      </c>
      <c r="L53" s="465"/>
      <c r="M53" s="465">
        <f>SUM(E53:K53)</f>
        <v>4368.16</v>
      </c>
      <c r="N53" s="466">
        <f>M53/CALC!$A$8*CALC!$A$6</f>
        <v>85.314427938163305</v>
      </c>
      <c r="O53" s="465">
        <f>SUM(M53:N53)</f>
        <v>4453.474427938163</v>
      </c>
      <c r="P53" s="467">
        <v>0.2</v>
      </c>
      <c r="Q53" s="471"/>
    </row>
    <row r="54" spans="1:17" x14ac:dyDescent="0.2">
      <c r="A54" s="8"/>
      <c r="B54" s="8"/>
      <c r="C54" s="14"/>
      <c r="D54" s="6"/>
      <c r="E54" s="22"/>
      <c r="F54" s="9"/>
      <c r="G54" s="9"/>
      <c r="H54" s="9"/>
      <c r="I54" s="9"/>
      <c r="J54" s="9"/>
      <c r="K54" s="9"/>
      <c r="L54" s="9"/>
      <c r="M54" s="9"/>
      <c r="N54" s="9"/>
      <c r="O54" s="9"/>
      <c r="P54" s="23"/>
      <c r="Q54" s="16"/>
    </row>
    <row r="55" spans="1:17" s="7" customFormat="1" x14ac:dyDescent="0.2">
      <c r="A55" s="3"/>
      <c r="B55" s="3" t="s">
        <v>14</v>
      </c>
      <c r="C55" s="18"/>
      <c r="D55" s="12">
        <f t="shared" ref="D55:M55" si="9">SUM(D53:D54)</f>
        <v>10</v>
      </c>
      <c r="E55" s="10">
        <f t="shared" si="9"/>
        <v>100</v>
      </c>
      <c r="F55" s="10">
        <f t="shared" si="9"/>
        <v>3000</v>
      </c>
      <c r="G55" s="10">
        <f t="shared" si="9"/>
        <v>0</v>
      </c>
      <c r="H55" s="10">
        <f t="shared" si="9"/>
        <v>1080</v>
      </c>
      <c r="I55" s="10">
        <f t="shared" si="9"/>
        <v>0</v>
      </c>
      <c r="J55" s="10">
        <f t="shared" si="9"/>
        <v>0</v>
      </c>
      <c r="K55" s="10">
        <f t="shared" si="9"/>
        <v>188.16000000000003</v>
      </c>
      <c r="L55" s="10">
        <f>SUM(L53:L54)</f>
        <v>0</v>
      </c>
      <c r="M55" s="10">
        <f t="shared" si="9"/>
        <v>4368.16</v>
      </c>
      <c r="N55" s="10">
        <f>M55/CALC!$A$8*CALC!$A$6</f>
        <v>85.314427938163305</v>
      </c>
      <c r="O55" s="10">
        <f>+M55+N55</f>
        <v>4453.474427938163</v>
      </c>
      <c r="P55" s="25"/>
      <c r="Q55" s="110">
        <f>(+O55/D55)*(1+CALC!$A$3)</f>
        <v>445.3474427938163</v>
      </c>
    </row>
    <row r="56" spans="1:17" x14ac:dyDescent="0.2">
      <c r="Q56" s="16"/>
    </row>
    <row r="57" spans="1:17" ht="10.8" thickBot="1" x14ac:dyDescent="0.25">
      <c r="Q57" s="16"/>
    </row>
    <row r="58" spans="1:17" ht="10.8" thickBot="1" x14ac:dyDescent="0.25">
      <c r="A58" s="283" t="s">
        <v>10</v>
      </c>
      <c r="B58" s="284" t="s">
        <v>110</v>
      </c>
      <c r="D58" s="556" t="s">
        <v>25</v>
      </c>
      <c r="E58" s="557"/>
      <c r="F58" s="558"/>
      <c r="Q58" s="16"/>
    </row>
    <row r="59" spans="1:17" x14ac:dyDescent="0.2">
      <c r="Q59" s="16"/>
    </row>
    <row r="60" spans="1:17" s="469" customFormat="1" x14ac:dyDescent="0.2">
      <c r="A60" s="462" t="s">
        <v>1507</v>
      </c>
      <c r="B60" s="462" t="s">
        <v>1508</v>
      </c>
      <c r="C60" s="333">
        <v>133</v>
      </c>
      <c r="D60" s="463">
        <v>25</v>
      </c>
      <c r="E60" s="470">
        <f>+D60/P60*(CALC!$A$4)</f>
        <v>2175.9259259259256</v>
      </c>
      <c r="F60" s="465">
        <v>3000</v>
      </c>
      <c r="G60" s="28">
        <f>CALC!$A$23*(I60/CEM!I$148)</f>
        <v>0</v>
      </c>
      <c r="H60" s="465">
        <f>50000*(1+CALC!B$14)</f>
        <v>54000</v>
      </c>
      <c r="I60" s="465"/>
      <c r="J60" s="465">
        <v>0</v>
      </c>
      <c r="K60" s="522">
        <f>240*(1+CALC!B$13)</f>
        <v>268.8</v>
      </c>
      <c r="L60" s="465"/>
      <c r="M60" s="465">
        <f>SUM(E60:L60)</f>
        <v>59444.72592592593</v>
      </c>
      <c r="N60" s="466">
        <f>M60/CALC!$A$8*CALC!$A$6</f>
        <v>1161.0135128546747</v>
      </c>
      <c r="O60" s="465">
        <f>+M60+N60</f>
        <v>60605.739438780605</v>
      </c>
      <c r="P60" s="467">
        <v>0.27</v>
      </c>
      <c r="Q60" s="468"/>
    </row>
    <row r="61" spans="1:17" x14ac:dyDescent="0.2">
      <c r="A61" s="8"/>
      <c r="B61" s="8"/>
      <c r="C61" s="14"/>
      <c r="D61" s="6"/>
      <c r="E61" s="22"/>
      <c r="F61" s="9"/>
      <c r="G61" s="9"/>
      <c r="H61" s="9"/>
      <c r="I61" s="9"/>
      <c r="J61" s="9"/>
      <c r="K61" s="9"/>
      <c r="L61" s="9"/>
      <c r="M61" s="9"/>
      <c r="N61" s="9"/>
      <c r="O61" s="9"/>
      <c r="P61" s="23"/>
      <c r="Q61" s="16"/>
    </row>
    <row r="62" spans="1:17" s="7" customFormat="1" x14ac:dyDescent="0.2">
      <c r="A62" s="3"/>
      <c r="B62" s="3" t="s">
        <v>14</v>
      </c>
      <c r="C62" s="18"/>
      <c r="D62" s="12">
        <f t="shared" ref="D62:M62" si="10">SUM(D60:D61)</f>
        <v>25</v>
      </c>
      <c r="E62" s="10">
        <f t="shared" si="10"/>
        <v>2175.9259259259256</v>
      </c>
      <c r="F62" s="10">
        <f t="shared" si="10"/>
        <v>3000</v>
      </c>
      <c r="G62" s="10">
        <f t="shared" si="10"/>
        <v>0</v>
      </c>
      <c r="H62" s="10">
        <f t="shared" si="10"/>
        <v>54000</v>
      </c>
      <c r="I62" s="10">
        <f t="shared" si="10"/>
        <v>0</v>
      </c>
      <c r="J62" s="10">
        <f t="shared" si="10"/>
        <v>0</v>
      </c>
      <c r="K62" s="10">
        <f t="shared" si="10"/>
        <v>268.8</v>
      </c>
      <c r="L62" s="10">
        <f>SUM(L60:L61)</f>
        <v>0</v>
      </c>
      <c r="M62" s="10">
        <f t="shared" si="10"/>
        <v>59444.72592592593</v>
      </c>
      <c r="N62" s="10">
        <f>M62/CALC!$A$8*CALC!$A$6</f>
        <v>1161.0135128546747</v>
      </c>
      <c r="O62" s="10">
        <f>+M62+N62</f>
        <v>60605.739438780605</v>
      </c>
      <c r="P62" s="25"/>
      <c r="Q62" s="110">
        <f>(+O62/D62)*(1+CALC!$A$3)</f>
        <v>2424.2295775512243</v>
      </c>
    </row>
    <row r="63" spans="1:17" x14ac:dyDescent="0.2">
      <c r="Q63" s="16"/>
    </row>
    <row r="64" spans="1:17" s="7" customFormat="1" ht="10.8" thickBot="1" x14ac:dyDescent="0.25">
      <c r="C64" s="29"/>
      <c r="D64" s="30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40"/>
    </row>
    <row r="65" spans="1:17" ht="10.8" thickBot="1" x14ac:dyDescent="0.25">
      <c r="A65" s="283" t="s">
        <v>10</v>
      </c>
      <c r="B65" s="284" t="s">
        <v>437</v>
      </c>
      <c r="D65" s="556" t="s">
        <v>226</v>
      </c>
      <c r="E65" s="557"/>
      <c r="F65" s="558"/>
      <c r="Q65" s="16"/>
    </row>
    <row r="66" spans="1:17" x14ac:dyDescent="0.2">
      <c r="Q66" s="16"/>
    </row>
    <row r="67" spans="1:17" x14ac:dyDescent="0.2">
      <c r="A67" s="487" t="str">
        <f>+'1-10'!C75</f>
        <v>NISSAN  UD40 - CHERRY PICKER [173]</v>
      </c>
      <c r="B67" s="539" t="str">
        <f>+'1-10'!R75</f>
        <v>CNF 628 L</v>
      </c>
      <c r="C67" s="483">
        <v>674</v>
      </c>
      <c r="D67" s="6">
        <v>8000</v>
      </c>
      <c r="E67" s="514">
        <f>+D67/P67*(CALC!$A$4)</f>
        <v>125333.33333333333</v>
      </c>
      <c r="F67" s="28">
        <v>23400</v>
      </c>
      <c r="G67" s="28">
        <f>CALC!$A$23*(I67/CEM!I$148)</f>
        <v>3923.7815226720286</v>
      </c>
      <c r="H67" s="28">
        <f>50000*(1+CALC!B$14)</f>
        <v>54000</v>
      </c>
      <c r="I67" s="28">
        <v>26594.17</v>
      </c>
      <c r="J67" s="28"/>
      <c r="K67" s="522">
        <f>2952*(1+CALC!B$13)</f>
        <v>3306.2400000000002</v>
      </c>
      <c r="L67" s="28"/>
      <c r="M67" s="28">
        <f>SUM(E67:L67)</f>
        <v>236557.52485600533</v>
      </c>
      <c r="N67" s="24">
        <f>M67/CALC!$A$8*CALC!$A$6</f>
        <v>4620.1993305094002</v>
      </c>
      <c r="O67" s="28">
        <f>+M67+N67</f>
        <v>241177.72418651474</v>
      </c>
      <c r="P67" s="37">
        <v>1.5</v>
      </c>
      <c r="Q67" s="38"/>
    </row>
    <row r="68" spans="1:17" x14ac:dyDescent="0.2">
      <c r="A68" s="487" t="str">
        <f>+'1-10'!C76</f>
        <v>NISSAN  UD40 - CHERRY PICKER [173]</v>
      </c>
      <c r="B68" s="539" t="str">
        <f>+'1-10'!R76</f>
        <v>CNF 616 L</v>
      </c>
      <c r="C68" s="483">
        <v>675</v>
      </c>
      <c r="D68" s="6">
        <v>8000</v>
      </c>
      <c r="E68" s="514">
        <f>+D68/P68*(CALC!$A$4)</f>
        <v>125333.33333333333</v>
      </c>
      <c r="F68" s="28">
        <v>23400</v>
      </c>
      <c r="G68" s="28">
        <f>CALC!$A$23*(I68/CEM!I$148)</f>
        <v>3923.7815226720286</v>
      </c>
      <c r="H68" s="28">
        <f>50000*(1+CALC!B$14)</f>
        <v>54000</v>
      </c>
      <c r="I68" s="28">
        <v>26594.17</v>
      </c>
      <c r="J68" s="28"/>
      <c r="K68" s="522">
        <f>2952*(1+CALC!B$13)</f>
        <v>3306.2400000000002</v>
      </c>
      <c r="L68" s="28"/>
      <c r="M68" s="28">
        <f>SUM(E68:L68)</f>
        <v>236557.52485600533</v>
      </c>
      <c r="N68" s="24">
        <f>M68/CALC!$A$8*CALC!$A$6</f>
        <v>4620.1993305094002</v>
      </c>
      <c r="O68" s="28">
        <f>+M68+N68</f>
        <v>241177.72418651474</v>
      </c>
      <c r="P68" s="37">
        <v>1.5</v>
      </c>
      <c r="Q68" s="38"/>
    </row>
    <row r="69" spans="1:17" x14ac:dyDescent="0.2">
      <c r="A69" s="41"/>
      <c r="B69" s="8"/>
      <c r="C69" s="14"/>
      <c r="D69" s="6"/>
      <c r="E69" s="22"/>
      <c r="F69" s="9"/>
      <c r="G69" s="9"/>
      <c r="H69" s="9"/>
      <c r="I69" s="9"/>
      <c r="J69" s="9"/>
      <c r="K69" s="9"/>
      <c r="L69" s="9"/>
      <c r="M69" s="9"/>
      <c r="N69" s="9"/>
      <c r="O69" s="9"/>
      <c r="P69" s="23"/>
      <c r="Q69" s="16"/>
    </row>
    <row r="70" spans="1:17" s="7" customFormat="1" x14ac:dyDescent="0.2">
      <c r="A70" s="3"/>
      <c r="B70" s="3" t="s">
        <v>14</v>
      </c>
      <c r="C70" s="18"/>
      <c r="D70" s="12">
        <f t="shared" ref="D70:M70" si="11">SUM(D67:D69)</f>
        <v>16000</v>
      </c>
      <c r="E70" s="10">
        <f>SUM(E67:E69)</f>
        <v>250666.66666666666</v>
      </c>
      <c r="F70" s="10">
        <f t="shared" si="11"/>
        <v>46800</v>
      </c>
      <c r="G70" s="10">
        <f t="shared" si="11"/>
        <v>7847.5630453440572</v>
      </c>
      <c r="H70" s="10">
        <f t="shared" si="11"/>
        <v>108000</v>
      </c>
      <c r="I70" s="10">
        <f t="shared" si="11"/>
        <v>53188.34</v>
      </c>
      <c r="J70" s="10">
        <f t="shared" si="11"/>
        <v>0</v>
      </c>
      <c r="K70" s="10">
        <f t="shared" si="11"/>
        <v>6612.4800000000005</v>
      </c>
      <c r="L70" s="10">
        <f t="shared" si="11"/>
        <v>0</v>
      </c>
      <c r="M70" s="10">
        <f t="shared" si="11"/>
        <v>473115.04971201066</v>
      </c>
      <c r="N70" s="10">
        <f>M70/CALC!$A$8*CALC!$A$6</f>
        <v>9240.3986610188003</v>
      </c>
      <c r="O70" s="10">
        <f>+M70+N70</f>
        <v>482355.44837302947</v>
      </c>
      <c r="P70" s="25"/>
      <c r="Q70" s="110">
        <f>(+O70/D70)*(1+CALC!$A$3)</f>
        <v>30.14721552331434</v>
      </c>
    </row>
    <row r="71" spans="1:17" ht="10.8" thickBot="1" x14ac:dyDescent="0.25">
      <c r="Q71" s="16"/>
    </row>
    <row r="72" spans="1:17" ht="10.8" thickBot="1" x14ac:dyDescent="0.25">
      <c r="A72" s="283" t="s">
        <v>10</v>
      </c>
      <c r="B72" s="284" t="s">
        <v>438</v>
      </c>
      <c r="D72" s="556" t="s">
        <v>233</v>
      </c>
      <c r="E72" s="557"/>
      <c r="F72" s="558"/>
      <c r="Q72" s="16"/>
    </row>
    <row r="73" spans="1:17" x14ac:dyDescent="0.2">
      <c r="Q73" s="16"/>
    </row>
    <row r="74" spans="1:17" x14ac:dyDescent="0.2">
      <c r="A74" s="482" t="str">
        <f>+'1-10'!C83</f>
        <v>NISSAN  UD 80 C H07 [173] CRANE</v>
      </c>
      <c r="B74" s="539" t="str">
        <f>+'1-10'!R83</f>
        <v>CMN 100 L</v>
      </c>
      <c r="C74" s="483">
        <v>682</v>
      </c>
      <c r="D74" s="6">
        <v>8000</v>
      </c>
      <c r="E74" s="514">
        <f>+D74/P74*(CALC!$A$4)</f>
        <v>125333.33333333333</v>
      </c>
      <c r="F74" s="28">
        <v>23400</v>
      </c>
      <c r="G74" s="28">
        <f>CALC!$A$23*(I74/CEM!I$148)</f>
        <v>8438.9017937438948</v>
      </c>
      <c r="H74" s="28">
        <f>95000*(1+CALC!B$14)</f>
        <v>102600</v>
      </c>
      <c r="I74" s="28">
        <v>57196.25</v>
      </c>
      <c r="J74" s="28"/>
      <c r="K74" s="522">
        <f>11118*(1+CALC!B$13)</f>
        <v>12452.160000000002</v>
      </c>
      <c r="L74" s="28"/>
      <c r="M74" s="28">
        <f>SUM(E74:L74)</f>
        <v>329420.64512707718</v>
      </c>
      <c r="N74" s="24">
        <f>M74/CALC!$A$8*CALC!$A$6</f>
        <v>6433.9066998546969</v>
      </c>
      <c r="O74" s="28">
        <f>+M74+N74</f>
        <v>335854.55182693189</v>
      </c>
      <c r="P74" s="37">
        <v>1.5</v>
      </c>
      <c r="Q74" s="38"/>
    </row>
    <row r="75" spans="1:17" x14ac:dyDescent="0.2">
      <c r="A75" s="482" t="str">
        <f>+'1-10'!C85</f>
        <v>NISSAN  UD 80 C H07 [173] CRANE</v>
      </c>
      <c r="B75" s="539" t="str">
        <f>+'1-10'!R85</f>
        <v>CNF 598 L</v>
      </c>
      <c r="C75" s="483">
        <v>684</v>
      </c>
      <c r="D75" s="6">
        <v>8000</v>
      </c>
      <c r="E75" s="514">
        <f>+D75/P75*(CALC!$A$4)</f>
        <v>125333.33333333333</v>
      </c>
      <c r="F75" s="28">
        <v>23400</v>
      </c>
      <c r="G75" s="28">
        <f>CALC!$A$23*(I75/CEM!I$148)</f>
        <v>9096.7469892018489</v>
      </c>
      <c r="H75" s="28">
        <f>95000*(1+CALC!B$14)</f>
        <v>102600</v>
      </c>
      <c r="I75" s="28">
        <v>61654.92</v>
      </c>
      <c r="J75" s="28"/>
      <c r="K75" s="522">
        <f>9492*(1+CALC!B$13)</f>
        <v>10631.04</v>
      </c>
      <c r="L75" s="28"/>
      <c r="M75" s="28">
        <f>SUM(E75:L75)</f>
        <v>332716.04032253515</v>
      </c>
      <c r="N75" s="24">
        <f>M75/CALC!$A$8*CALC!$A$6</f>
        <v>6498.2689841873844</v>
      </c>
      <c r="O75" s="28">
        <f>+M75+N75</f>
        <v>339214.30930672254</v>
      </c>
      <c r="P75" s="37">
        <v>1.5</v>
      </c>
      <c r="Q75" s="38"/>
    </row>
    <row r="76" spans="1:17" x14ac:dyDescent="0.2">
      <c r="A76" s="8"/>
      <c r="B76" s="8"/>
      <c r="C76" s="14"/>
      <c r="D76" s="6"/>
      <c r="E76" s="22"/>
      <c r="F76" s="9"/>
      <c r="G76" s="9"/>
      <c r="H76" s="9"/>
      <c r="I76" s="9"/>
      <c r="J76" s="9"/>
      <c r="K76" s="9"/>
      <c r="L76" s="9"/>
      <c r="M76" s="9"/>
      <c r="N76" s="9"/>
      <c r="O76" s="9">
        <f>+M76+N76</f>
        <v>0</v>
      </c>
      <c r="P76" s="23"/>
      <c r="Q76" s="16"/>
    </row>
    <row r="77" spans="1:17" s="7" customFormat="1" x14ac:dyDescent="0.2">
      <c r="A77" s="3"/>
      <c r="B77" s="3" t="s">
        <v>14</v>
      </c>
      <c r="C77" s="18"/>
      <c r="D77" s="12">
        <f t="shared" ref="D77:M77" si="12">SUM(D74:D76)</f>
        <v>16000</v>
      </c>
      <c r="E77" s="10">
        <f t="shared" si="12"/>
        <v>250666.66666666666</v>
      </c>
      <c r="F77" s="10">
        <f t="shared" si="12"/>
        <v>46800</v>
      </c>
      <c r="G77" s="10">
        <f t="shared" si="12"/>
        <v>17535.648782945744</v>
      </c>
      <c r="H77" s="10">
        <f t="shared" si="12"/>
        <v>205200</v>
      </c>
      <c r="I77" s="10">
        <f t="shared" si="12"/>
        <v>118851.17</v>
      </c>
      <c r="J77" s="10">
        <f t="shared" si="12"/>
        <v>0</v>
      </c>
      <c r="K77" s="10">
        <f t="shared" si="12"/>
        <v>23083.200000000004</v>
      </c>
      <c r="L77" s="10">
        <f t="shared" si="12"/>
        <v>0</v>
      </c>
      <c r="M77" s="10">
        <f t="shared" si="12"/>
        <v>662136.68544961233</v>
      </c>
      <c r="N77" s="10">
        <f>M77/CALC!$A$8*CALC!$A$6</f>
        <v>12932.175684042082</v>
      </c>
      <c r="O77" s="10">
        <f>+M77+N77</f>
        <v>675068.86113365437</v>
      </c>
      <c r="P77" s="25"/>
      <c r="Q77" s="110">
        <f>(+O77/D77)*(1+CALC!$A$3)</f>
        <v>42.191803820853401</v>
      </c>
    </row>
    <row r="78" spans="1:17" s="7" customFormat="1" ht="10.8" thickBot="1" x14ac:dyDescent="0.25">
      <c r="C78" s="29"/>
      <c r="D78" s="30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40"/>
    </row>
    <row r="79" spans="1:17" ht="10.8" thickBot="1" x14ac:dyDescent="0.25">
      <c r="A79" s="283" t="s">
        <v>10</v>
      </c>
      <c r="B79" s="284" t="s">
        <v>439</v>
      </c>
      <c r="D79" s="556" t="s">
        <v>405</v>
      </c>
      <c r="E79" s="557"/>
      <c r="F79" s="558"/>
      <c r="Q79" s="16"/>
    </row>
    <row r="80" spans="1:17" ht="10.8" thickBot="1" x14ac:dyDescent="0.25">
      <c r="Q80" s="16"/>
    </row>
    <row r="81" spans="1:17" ht="10.8" thickBot="1" x14ac:dyDescent="0.25">
      <c r="A81" s="485" t="str">
        <f>+'1-10'!C100</f>
        <v xml:space="preserve">NISSAN  UD 330WF T27 CRANE TRUCK </v>
      </c>
      <c r="B81" s="540" t="str">
        <f>+'1-10'!R100</f>
        <v>CMS 088 L</v>
      </c>
      <c r="C81" s="491" t="s">
        <v>416</v>
      </c>
      <c r="D81" s="6">
        <v>10000</v>
      </c>
      <c r="E81" s="514">
        <f>+D81/P81*(CALC!$A$4)</f>
        <v>180769.23076923078</v>
      </c>
      <c r="F81" s="28">
        <v>23400</v>
      </c>
      <c r="G81" s="28">
        <f>CALC!$A$23*(I81/CEM!I$148)</f>
        <v>14361.873665888701</v>
      </c>
      <c r="H81" s="28">
        <f>100000*(1+CALC!B$14)</f>
        <v>108000</v>
      </c>
      <c r="I81" s="28">
        <v>97340.31</v>
      </c>
      <c r="J81" s="28"/>
      <c r="K81" s="522">
        <f>34158*(1+CALC!B$13)</f>
        <v>38256.960000000006</v>
      </c>
      <c r="L81" s="28"/>
      <c r="M81" s="28">
        <f>SUM(E81:L81)</f>
        <v>462128.37443511951</v>
      </c>
      <c r="N81" s="24">
        <f>M81/CALC!$A$8*CALC!$A$6</f>
        <v>9025.8181703338596</v>
      </c>
      <c r="O81" s="28">
        <f>+M81+N81</f>
        <v>471154.19260545337</v>
      </c>
      <c r="P81" s="37">
        <v>1.3</v>
      </c>
      <c r="Q81" s="38"/>
    </row>
    <row r="82" spans="1:17" x14ac:dyDescent="0.2">
      <c r="A82" s="8"/>
      <c r="B82" s="8"/>
      <c r="C82" s="14"/>
      <c r="D82" s="6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23"/>
      <c r="Q82" s="16"/>
    </row>
    <row r="83" spans="1:17" s="7" customFormat="1" x14ac:dyDescent="0.2">
      <c r="B83" s="3" t="s">
        <v>14</v>
      </c>
      <c r="C83" s="18"/>
      <c r="D83" s="12">
        <f>SUM(D81:D82)</f>
        <v>10000</v>
      </c>
      <c r="E83" s="10">
        <f>SUM(E81:E82)</f>
        <v>180769.23076923078</v>
      </c>
      <c r="F83" s="10">
        <f t="shared" ref="F83:K83" si="13">SUM(F81:F82)</f>
        <v>23400</v>
      </c>
      <c r="G83" s="10">
        <f t="shared" si="13"/>
        <v>14361.873665888701</v>
      </c>
      <c r="H83" s="10">
        <f t="shared" si="13"/>
        <v>108000</v>
      </c>
      <c r="I83" s="10">
        <f t="shared" si="13"/>
        <v>97340.31</v>
      </c>
      <c r="J83" s="10">
        <f t="shared" si="13"/>
        <v>0</v>
      </c>
      <c r="K83" s="10">
        <f t="shared" si="13"/>
        <v>38256.960000000006</v>
      </c>
      <c r="L83" s="10">
        <f>+L81</f>
        <v>0</v>
      </c>
      <c r="M83" s="10">
        <f>SUM(M81:M82)</f>
        <v>462128.37443511951</v>
      </c>
      <c r="N83" s="10">
        <f>M83/CALC!$A$8*CALC!$A$6</f>
        <v>9025.8181703338596</v>
      </c>
      <c r="O83" s="10">
        <f>+M83+N83</f>
        <v>471154.19260545337</v>
      </c>
      <c r="P83" s="25"/>
      <c r="Q83" s="110">
        <f>(+O83/D83)*(1+CALC!$A$3)</f>
        <v>47.115419260545337</v>
      </c>
    </row>
    <row r="84" spans="1:17" s="7" customFormat="1" ht="10.8" thickBot="1" x14ac:dyDescent="0.25">
      <c r="C84" s="29"/>
      <c r="D84" s="30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40"/>
    </row>
    <row r="85" spans="1:17" ht="10.8" thickBot="1" x14ac:dyDescent="0.25">
      <c r="A85" s="283" t="s">
        <v>10</v>
      </c>
      <c r="B85" s="284" t="s">
        <v>111</v>
      </c>
      <c r="D85" s="556" t="s">
        <v>15</v>
      </c>
      <c r="E85" s="557"/>
      <c r="F85" s="558"/>
      <c r="Q85" s="16"/>
    </row>
    <row r="86" spans="1:17" x14ac:dyDescent="0.2">
      <c r="Q86" s="16"/>
    </row>
    <row r="87" spans="1:17" s="469" customFormat="1" x14ac:dyDescent="0.2">
      <c r="A87" s="462" t="s">
        <v>1540</v>
      </c>
      <c r="B87" s="508" t="s">
        <v>1537</v>
      </c>
      <c r="C87" s="333">
        <v>56</v>
      </c>
      <c r="D87" s="463"/>
      <c r="E87" s="470"/>
      <c r="F87" s="465"/>
      <c r="G87" s="28">
        <f>CALC!$A$23*(I87/CEM!I$148)</f>
        <v>0</v>
      </c>
      <c r="H87" s="465">
        <f>5000*(1+CALC!B$14)</f>
        <v>5400</v>
      </c>
      <c r="I87" s="465"/>
      <c r="J87" s="465"/>
      <c r="K87" s="522">
        <f>468*(1+CALC!B$13)</f>
        <v>524.16000000000008</v>
      </c>
      <c r="L87" s="465"/>
      <c r="M87" s="465">
        <f>SUM(E87:L87)</f>
        <v>5924.16</v>
      </c>
      <c r="N87" s="466">
        <f>M87/CALC!$A$8*CALC!$A$6</f>
        <v>115.70462652790867</v>
      </c>
      <c r="O87" s="465">
        <f>+M87+N87</f>
        <v>6039.8646265279085</v>
      </c>
      <c r="P87" s="471"/>
      <c r="Q87" s="468"/>
    </row>
    <row r="88" spans="1:17" s="469" customFormat="1" x14ac:dyDescent="0.2">
      <c r="A88" s="462" t="s">
        <v>1538</v>
      </c>
      <c r="B88" s="508" t="s">
        <v>1539</v>
      </c>
      <c r="C88" s="333">
        <v>57</v>
      </c>
      <c r="D88" s="463"/>
      <c r="E88" s="470"/>
      <c r="F88" s="465"/>
      <c r="G88" s="28">
        <f>CALC!$A$23*(I88/CEM!I$148)</f>
        <v>0</v>
      </c>
      <c r="H88" s="465">
        <f>5000*(1+CALC!B$14)</f>
        <v>5400</v>
      </c>
      <c r="I88" s="465"/>
      <c r="J88" s="465"/>
      <c r="K88" s="522">
        <f>468*(1+CALC!B$13)</f>
        <v>524.16000000000008</v>
      </c>
      <c r="L88" s="465"/>
      <c r="M88" s="465">
        <f t="shared" ref="M88:M93" si="14">SUM(E88:L88)</f>
        <v>5924.16</v>
      </c>
      <c r="N88" s="466">
        <f>M88/CALC!$A$8*CALC!$A$6</f>
        <v>115.70462652790867</v>
      </c>
      <c r="O88" s="465">
        <f t="shared" ref="O88:O93" si="15">+M88+N88</f>
        <v>6039.8646265279085</v>
      </c>
      <c r="P88" s="471"/>
      <c r="Q88" s="468"/>
    </row>
    <row r="89" spans="1:17" s="469" customFormat="1" x14ac:dyDescent="0.2">
      <c r="A89" s="462" t="s">
        <v>1544</v>
      </c>
      <c r="B89" s="508" t="s">
        <v>1545</v>
      </c>
      <c r="C89" s="333">
        <v>58</v>
      </c>
      <c r="D89" s="463"/>
      <c r="E89" s="470"/>
      <c r="F89" s="465"/>
      <c r="G89" s="28">
        <f>CALC!$A$23*(I89/CEM!I$148)</f>
        <v>0</v>
      </c>
      <c r="H89" s="465">
        <f>5000*(1+CALC!B$14)</f>
        <v>5400</v>
      </c>
      <c r="I89" s="465"/>
      <c r="J89" s="465"/>
      <c r="K89" s="522">
        <f>468*(1+CALC!B$13)</f>
        <v>524.16000000000008</v>
      </c>
      <c r="L89" s="465"/>
      <c r="M89" s="465">
        <f t="shared" si="14"/>
        <v>5924.16</v>
      </c>
      <c r="N89" s="466">
        <f>M89/CALC!$A$8*CALC!$A$6</f>
        <v>115.70462652790867</v>
      </c>
      <c r="O89" s="465">
        <f t="shared" si="15"/>
        <v>6039.8646265279085</v>
      </c>
      <c r="P89" s="471"/>
      <c r="Q89" s="468"/>
    </row>
    <row r="90" spans="1:17" s="469" customFormat="1" x14ac:dyDescent="0.2">
      <c r="A90" s="462" t="s">
        <v>1551</v>
      </c>
      <c r="B90" s="508" t="s">
        <v>1552</v>
      </c>
      <c r="C90" s="333">
        <v>59</v>
      </c>
      <c r="D90" s="463"/>
      <c r="E90" s="470"/>
      <c r="F90" s="465"/>
      <c r="G90" s="28">
        <f>CALC!$A$23*(I90/CEM!I$148)</f>
        <v>0</v>
      </c>
      <c r="H90" s="465">
        <f>5000*(1+CALC!B$14)</f>
        <v>5400</v>
      </c>
      <c r="I90" s="465"/>
      <c r="J90" s="465"/>
      <c r="K90" s="522">
        <f>468*(1+CALC!B$13)</f>
        <v>524.16000000000008</v>
      </c>
      <c r="L90" s="465"/>
      <c r="M90" s="465">
        <f t="shared" si="14"/>
        <v>5924.16</v>
      </c>
      <c r="N90" s="466">
        <f>M90/CALC!$A$8*CALC!$A$6</f>
        <v>115.70462652790867</v>
      </c>
      <c r="O90" s="465">
        <f t="shared" si="15"/>
        <v>6039.8646265279085</v>
      </c>
      <c r="P90" s="471"/>
      <c r="Q90" s="468"/>
    </row>
    <row r="91" spans="1:17" s="469" customFormat="1" x14ac:dyDescent="0.2">
      <c r="A91" s="462" t="s">
        <v>1553</v>
      </c>
      <c r="B91" s="508" t="s">
        <v>1554</v>
      </c>
      <c r="C91" s="333">
        <v>60</v>
      </c>
      <c r="D91" s="463"/>
      <c r="E91" s="470"/>
      <c r="F91" s="465"/>
      <c r="G91" s="28">
        <f>CALC!$A$23*(I91/CEM!I$148)</f>
        <v>0</v>
      </c>
      <c r="H91" s="465">
        <f>5000*(1+CALC!B$14)</f>
        <v>5400</v>
      </c>
      <c r="I91" s="465"/>
      <c r="J91" s="465"/>
      <c r="K91" s="522">
        <f>468*(1+CALC!B$13)</f>
        <v>524.16000000000008</v>
      </c>
      <c r="L91" s="465"/>
      <c r="M91" s="465">
        <f t="shared" si="14"/>
        <v>5924.16</v>
      </c>
      <c r="N91" s="466">
        <f>M91/CALC!$A$8*CALC!$A$6</f>
        <v>115.70462652790867</v>
      </c>
      <c r="O91" s="465">
        <f t="shared" si="15"/>
        <v>6039.8646265279085</v>
      </c>
      <c r="P91" s="471"/>
      <c r="Q91" s="468"/>
    </row>
    <row r="92" spans="1:17" s="469" customFormat="1" x14ac:dyDescent="0.2">
      <c r="A92" s="462" t="s">
        <v>37</v>
      </c>
      <c r="B92" s="462" t="s">
        <v>36</v>
      </c>
      <c r="C92" s="333">
        <v>171</v>
      </c>
      <c r="D92" s="463"/>
      <c r="E92" s="470"/>
      <c r="F92" s="465"/>
      <c r="G92" s="28">
        <f>CALC!$A$23*(I92/CEM!I$148)</f>
        <v>0</v>
      </c>
      <c r="H92" s="465"/>
      <c r="I92" s="465"/>
      <c r="J92" s="465"/>
      <c r="K92" s="465"/>
      <c r="L92" s="465"/>
      <c r="M92" s="465">
        <f t="shared" si="14"/>
        <v>0</v>
      </c>
      <c r="N92" s="466">
        <f>M92/CALC!$A$8*CALC!$A$6</f>
        <v>0</v>
      </c>
      <c r="O92" s="465">
        <f t="shared" si="15"/>
        <v>0</v>
      </c>
      <c r="P92" s="471"/>
      <c r="Q92" s="468"/>
    </row>
    <row r="93" spans="1:17" s="469" customFormat="1" x14ac:dyDescent="0.2">
      <c r="A93" s="462" t="s">
        <v>1511</v>
      </c>
      <c r="B93" s="462" t="s">
        <v>1512</v>
      </c>
      <c r="C93" s="333">
        <v>172</v>
      </c>
      <c r="D93" s="463"/>
      <c r="E93" s="470"/>
      <c r="F93" s="465"/>
      <c r="G93" s="28">
        <f>CALC!$A$23*(I93/CEM!I$148)</f>
        <v>0</v>
      </c>
      <c r="H93" s="465">
        <f>5000*(1+CALC!B$14)</f>
        <v>5400</v>
      </c>
      <c r="I93" s="465">
        <v>0</v>
      </c>
      <c r="J93" s="465"/>
      <c r="K93" s="522">
        <f>468*(1+CALC!B$13)</f>
        <v>524.16000000000008</v>
      </c>
      <c r="L93" s="465"/>
      <c r="M93" s="465">
        <f t="shared" si="14"/>
        <v>5924.16</v>
      </c>
      <c r="N93" s="466">
        <f>M93/CALC!$A$8*CALC!$A$6</f>
        <v>115.70462652790867</v>
      </c>
      <c r="O93" s="465">
        <f t="shared" si="15"/>
        <v>6039.8646265279085</v>
      </c>
      <c r="P93" s="471"/>
      <c r="Q93" s="468"/>
    </row>
    <row r="94" spans="1:17" x14ac:dyDescent="0.2">
      <c r="A94" s="8"/>
      <c r="B94" s="8"/>
      <c r="C94" s="14"/>
      <c r="D94" s="6"/>
      <c r="E94" s="22"/>
      <c r="F94" s="9"/>
      <c r="G94" s="9"/>
      <c r="H94" s="9"/>
      <c r="I94" s="9"/>
      <c r="J94" s="9"/>
      <c r="K94" s="9"/>
      <c r="L94" s="9"/>
      <c r="M94" s="9"/>
      <c r="N94" s="9"/>
      <c r="O94" s="9"/>
      <c r="P94" s="15"/>
      <c r="Q94" s="16"/>
    </row>
    <row r="95" spans="1:17" s="7" customFormat="1" x14ac:dyDescent="0.2">
      <c r="A95" s="3"/>
      <c r="B95" s="3" t="s">
        <v>14</v>
      </c>
      <c r="C95" s="18"/>
      <c r="D95" s="12"/>
      <c r="E95" s="10"/>
      <c r="F95" s="10">
        <f t="shared" ref="F95:M95" si="16">SUM(F87:F94)</f>
        <v>0</v>
      </c>
      <c r="G95" s="10">
        <f t="shared" si="16"/>
        <v>0</v>
      </c>
      <c r="H95" s="10">
        <f t="shared" si="16"/>
        <v>32400</v>
      </c>
      <c r="I95" s="10">
        <f t="shared" si="16"/>
        <v>0</v>
      </c>
      <c r="J95" s="10">
        <f t="shared" si="16"/>
        <v>0</v>
      </c>
      <c r="K95" s="10">
        <f t="shared" si="16"/>
        <v>3144.96</v>
      </c>
      <c r="L95" s="10"/>
      <c r="M95" s="10">
        <f t="shared" si="16"/>
        <v>35544.959999999999</v>
      </c>
      <c r="N95" s="10">
        <f>M95/CALC!$A$8*CALC!$A$6</f>
        <v>694.22775916745206</v>
      </c>
      <c r="O95" s="10">
        <f>+M95+N95</f>
        <v>36239.187759167449</v>
      </c>
      <c r="P95" s="31"/>
      <c r="Q95" s="27"/>
    </row>
    <row r="96" spans="1:17" s="7" customFormat="1" ht="10.8" thickBot="1" x14ac:dyDescent="0.25">
      <c r="C96" s="29"/>
      <c r="D96" s="30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27"/>
    </row>
    <row r="97" spans="1:18" s="7" customFormat="1" ht="10.8" thickBot="1" x14ac:dyDescent="0.25">
      <c r="A97" s="283" t="s">
        <v>10</v>
      </c>
      <c r="B97" s="284" t="s">
        <v>439</v>
      </c>
      <c r="C97" s="4"/>
      <c r="D97" s="525" t="s">
        <v>405</v>
      </c>
      <c r="E97" s="526"/>
      <c r="F97" s="527"/>
      <c r="G97" s="2"/>
      <c r="H97" s="2"/>
      <c r="I97" s="2"/>
      <c r="J97" s="2"/>
      <c r="K97" s="2"/>
      <c r="L97" s="2"/>
      <c r="M97" s="2"/>
      <c r="N97" s="2"/>
      <c r="O97" s="2"/>
      <c r="P97" s="11"/>
      <c r="Q97" s="16"/>
    </row>
    <row r="98" spans="1:18" s="7" customFormat="1" ht="10.8" thickBot="1" x14ac:dyDescent="0.25">
      <c r="A98" s="2"/>
      <c r="B98" s="2"/>
      <c r="C98" s="4"/>
      <c r="D98" s="13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11"/>
      <c r="Q98" s="16"/>
    </row>
    <row r="99" spans="1:18" s="7" customFormat="1" ht="10.8" thickBot="1" x14ac:dyDescent="0.25">
      <c r="A99" s="485" t="s">
        <v>1503</v>
      </c>
      <c r="B99" s="490"/>
      <c r="C99" s="491"/>
      <c r="D99" s="6">
        <v>800</v>
      </c>
      <c r="E99" s="514">
        <f>+D99*P99*(CALC!$A$4)</f>
        <v>564000</v>
      </c>
      <c r="F99" s="28"/>
      <c r="G99" s="28"/>
      <c r="H99" s="28">
        <f>30000*(1+CALC!B$14)</f>
        <v>32400.000000000004</v>
      </c>
      <c r="I99" s="28"/>
      <c r="J99" s="28"/>
      <c r="K99" s="522"/>
      <c r="L99" s="28"/>
      <c r="M99" s="28">
        <f>SUM(E99:L99)</f>
        <v>596400</v>
      </c>
      <c r="N99" s="24">
        <f>M99/CALC!$A$8*CALC!$A$6</f>
        <v>11648.27406100523</v>
      </c>
      <c r="O99" s="28">
        <f>+M99+N99</f>
        <v>608048.27406100521</v>
      </c>
      <c r="P99" s="37">
        <v>30</v>
      </c>
      <c r="Q99" s="38"/>
    </row>
    <row r="100" spans="1:18" s="7" customFormat="1" x14ac:dyDescent="0.2">
      <c r="A100" s="8"/>
      <c r="B100" s="8"/>
      <c r="C100" s="14"/>
      <c r="D100" s="6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23"/>
      <c r="Q100" s="16"/>
    </row>
    <row r="101" spans="1:18" s="7" customFormat="1" ht="10.8" thickBot="1" x14ac:dyDescent="0.25">
      <c r="B101" s="3" t="s">
        <v>14</v>
      </c>
      <c r="C101" s="18"/>
      <c r="D101" s="12">
        <f>SUM(D99:D100)</f>
        <v>800</v>
      </c>
      <c r="E101" s="10">
        <f>SUM(E99:E100)</f>
        <v>564000</v>
      </c>
      <c r="F101" s="10">
        <f t="shared" ref="F101:K101" si="17">SUM(F99:F100)</f>
        <v>0</v>
      </c>
      <c r="G101" s="10">
        <f t="shared" si="17"/>
        <v>0</v>
      </c>
      <c r="H101" s="10">
        <f t="shared" si="17"/>
        <v>32400.000000000004</v>
      </c>
      <c r="I101" s="10">
        <f t="shared" si="17"/>
        <v>0</v>
      </c>
      <c r="J101" s="10">
        <f t="shared" si="17"/>
        <v>0</v>
      </c>
      <c r="K101" s="10">
        <f t="shared" si="17"/>
        <v>0</v>
      </c>
      <c r="L101" s="10">
        <f>+L99</f>
        <v>0</v>
      </c>
      <c r="M101" s="10">
        <f>SUM(M99:M100)</f>
        <v>596400</v>
      </c>
      <c r="N101" s="10">
        <f>M101/CALC!$A$8*CALC!$A$6</f>
        <v>11648.27406100523</v>
      </c>
      <c r="O101" s="10">
        <f>+M101+N101</f>
        <v>608048.27406100521</v>
      </c>
      <c r="P101" s="25"/>
      <c r="Q101" s="110">
        <f>(+O101/D101)*(1+CALC!$A$3)</f>
        <v>760.06034257625652</v>
      </c>
    </row>
    <row r="102" spans="1:18" s="7" customFormat="1" ht="10.8" thickBot="1" x14ac:dyDescent="0.25">
      <c r="A102" s="283" t="s">
        <v>10</v>
      </c>
      <c r="B102" s="284" t="s">
        <v>439</v>
      </c>
      <c r="C102" s="4"/>
      <c r="D102" s="525" t="s">
        <v>405</v>
      </c>
      <c r="E102" s="526"/>
      <c r="F102" s="527"/>
      <c r="G102" s="2"/>
      <c r="H102" s="2"/>
      <c r="I102" s="2"/>
      <c r="J102" s="2"/>
      <c r="K102" s="2"/>
      <c r="L102" s="2"/>
      <c r="M102" s="2"/>
      <c r="N102" s="2"/>
      <c r="O102" s="2"/>
      <c r="P102" s="11"/>
      <c r="Q102" s="16"/>
    </row>
    <row r="103" spans="1:18" s="7" customFormat="1" ht="10.8" thickBot="1" x14ac:dyDescent="0.25">
      <c r="A103" s="2"/>
      <c r="B103" s="2"/>
      <c r="C103" s="4"/>
      <c r="D103" s="13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11"/>
      <c r="Q103" s="16"/>
    </row>
    <row r="104" spans="1:18" s="7" customFormat="1" ht="10.8" thickBot="1" x14ac:dyDescent="0.25">
      <c r="A104" s="485" t="s">
        <v>1504</v>
      </c>
      <c r="B104" s="490"/>
      <c r="C104" s="491"/>
      <c r="D104" s="6"/>
      <c r="E104" s="514">
        <v>136464.21956395684</v>
      </c>
      <c r="F104" s="28">
        <v>70200</v>
      </c>
      <c r="G104" s="28">
        <v>9146.7842317144696</v>
      </c>
      <c r="H104" s="28">
        <v>132640</v>
      </c>
      <c r="I104" s="28">
        <v>61146.45</v>
      </c>
      <c r="J104" s="28">
        <v>6000000</v>
      </c>
      <c r="K104" s="522">
        <v>31000</v>
      </c>
      <c r="L104" s="28"/>
      <c r="M104" s="28">
        <f>SUM(E104:L104)</f>
        <v>6440597.4537956715</v>
      </c>
      <c r="N104" s="24">
        <f>M104/CALC!$A$8*CALC!$A$6</f>
        <v>125791.1540215031</v>
      </c>
      <c r="O104" s="28">
        <f>+M104+N104</f>
        <v>6566388.6078171749</v>
      </c>
      <c r="P104" s="37">
        <v>1.3</v>
      </c>
      <c r="Q104" s="38"/>
    </row>
    <row r="105" spans="1:18" s="7" customFormat="1" x14ac:dyDescent="0.2">
      <c r="A105" s="8"/>
      <c r="B105" s="8"/>
      <c r="C105" s="14"/>
      <c r="D105" s="6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23"/>
      <c r="Q105" s="16"/>
    </row>
    <row r="106" spans="1:18" x14ac:dyDescent="0.2">
      <c r="A106" s="7"/>
      <c r="B106" s="3" t="s">
        <v>14</v>
      </c>
      <c r="C106" s="18"/>
      <c r="D106" s="12">
        <f>SUM(D104:D105)</f>
        <v>0</v>
      </c>
      <c r="E106" s="10">
        <v>0</v>
      </c>
      <c r="F106" s="10">
        <f t="shared" ref="F106:K106" si="18">SUM(F104:F105)</f>
        <v>70200</v>
      </c>
      <c r="G106" s="10">
        <f t="shared" si="18"/>
        <v>9146.7842317144696</v>
      </c>
      <c r="H106" s="10">
        <f t="shared" si="18"/>
        <v>132640</v>
      </c>
      <c r="I106" s="10">
        <f t="shared" si="18"/>
        <v>61146.45</v>
      </c>
      <c r="J106" s="10">
        <f t="shared" si="18"/>
        <v>6000000</v>
      </c>
      <c r="K106" s="10">
        <f t="shared" si="18"/>
        <v>31000</v>
      </c>
      <c r="L106" s="10">
        <f>+L104</f>
        <v>0</v>
      </c>
      <c r="M106" s="10">
        <f>SUM(M104:M105)</f>
        <v>6440597.4537956715</v>
      </c>
      <c r="N106" s="10">
        <f>M106/CALC!$A$8*CALC!$A$6</f>
        <v>125791.1540215031</v>
      </c>
      <c r="O106" s="10">
        <f>+M106+N106</f>
        <v>6566388.6078171749</v>
      </c>
      <c r="P106" s="25"/>
      <c r="Q106" s="110" t="e">
        <f>(+O106/D106)*(1+CALC!$A$3)</f>
        <v>#DIV/0!</v>
      </c>
    </row>
    <row r="107" spans="1:18" ht="10.8" thickBot="1" x14ac:dyDescent="0.25">
      <c r="Q107" s="16"/>
    </row>
    <row r="108" spans="1:18" s="7" customFormat="1" ht="10.8" thickBot="1" x14ac:dyDescent="0.25">
      <c r="A108" s="7" t="s">
        <v>75</v>
      </c>
      <c r="B108" s="57" t="s">
        <v>14</v>
      </c>
      <c r="C108" s="58"/>
      <c r="D108" s="59">
        <f t="shared" ref="D108:F108" si="19">+D9+D24+D49+D55+D62+D70+D77+D95+D83+D101+D106</f>
        <v>635835</v>
      </c>
      <c r="E108" s="59">
        <f t="shared" si="19"/>
        <v>3968593.4023742969</v>
      </c>
      <c r="F108" s="59">
        <f t="shared" si="19"/>
        <v>848400</v>
      </c>
      <c r="G108" s="59">
        <f>+G9+G24+G49+G55+G62+G70+G77+G95+G83+G101+G106</f>
        <v>148962.14767030691</v>
      </c>
      <c r="H108" s="59">
        <f t="shared" ref="H108:O108" si="20">+H9+H24+H49+H55+H62+H70+H77+H95+H83+H101+H106</f>
        <v>1603160</v>
      </c>
      <c r="I108" s="59">
        <f t="shared" si="20"/>
        <v>1008771.47</v>
      </c>
      <c r="J108" s="59">
        <f t="shared" si="20"/>
        <v>6000000</v>
      </c>
      <c r="K108" s="59">
        <f t="shared" si="20"/>
        <v>136456.96000000002</v>
      </c>
      <c r="L108" s="59">
        <f t="shared" si="20"/>
        <v>0</v>
      </c>
      <c r="M108" s="59">
        <f t="shared" si="20"/>
        <v>13737017.376462247</v>
      </c>
      <c r="N108" s="59">
        <f t="shared" si="20"/>
        <v>268297.35610634356</v>
      </c>
      <c r="O108" s="59">
        <f t="shared" si="20"/>
        <v>14005314.732568592</v>
      </c>
      <c r="P108" s="60">
        <f t="shared" ref="P108" si="21">+P9+P24+P49+P55+P62+P70+P77+P95+P83</f>
        <v>0</v>
      </c>
      <c r="Q108" s="26"/>
      <c r="R108" s="35"/>
    </row>
    <row r="109" spans="1:18" x14ac:dyDescent="0.2">
      <c r="Q109" s="16"/>
    </row>
    <row r="110" spans="1:18" x14ac:dyDescent="0.2">
      <c r="Q110" s="16"/>
    </row>
    <row r="111" spans="1:18" x14ac:dyDescent="0.2">
      <c r="D111" s="13">
        <f>D108</f>
        <v>635835</v>
      </c>
      <c r="E111" s="13">
        <f t="shared" ref="E111:O111" si="22">E108</f>
        <v>3968593.4023742969</v>
      </c>
      <c r="F111" s="13">
        <f t="shared" si="22"/>
        <v>848400</v>
      </c>
      <c r="G111" s="13">
        <f t="shared" si="22"/>
        <v>148962.14767030691</v>
      </c>
      <c r="H111" s="13">
        <f t="shared" si="22"/>
        <v>1603160</v>
      </c>
      <c r="I111" s="13">
        <f t="shared" si="22"/>
        <v>1008771.47</v>
      </c>
      <c r="J111" s="13">
        <f t="shared" si="22"/>
        <v>6000000</v>
      </c>
      <c r="K111" s="13">
        <f t="shared" si="22"/>
        <v>136456.96000000002</v>
      </c>
      <c r="L111" s="13">
        <f t="shared" si="22"/>
        <v>0</v>
      </c>
      <c r="M111" s="13">
        <f t="shared" si="22"/>
        <v>13737017.376462247</v>
      </c>
      <c r="N111" s="13">
        <f t="shared" si="22"/>
        <v>268297.35610634356</v>
      </c>
      <c r="O111" s="13">
        <f t="shared" si="22"/>
        <v>14005314.732568592</v>
      </c>
      <c r="Q111" s="16"/>
    </row>
    <row r="112" spans="1:18" x14ac:dyDescent="0.2">
      <c r="Q112" s="16"/>
    </row>
    <row r="113" spans="17:17" x14ac:dyDescent="0.2">
      <c r="Q113" s="16"/>
    </row>
    <row r="114" spans="17:17" x14ac:dyDescent="0.2">
      <c r="Q114" s="16"/>
    </row>
    <row r="115" spans="17:17" x14ac:dyDescent="0.2">
      <c r="Q115" s="16"/>
    </row>
    <row r="116" spans="17:17" x14ac:dyDescent="0.2">
      <c r="Q116" s="16"/>
    </row>
    <row r="117" spans="17:17" x14ac:dyDescent="0.2">
      <c r="Q117" s="16"/>
    </row>
    <row r="118" spans="17:17" x14ac:dyDescent="0.2">
      <c r="Q118" s="16"/>
    </row>
    <row r="119" spans="17:17" x14ac:dyDescent="0.2">
      <c r="Q119" s="16"/>
    </row>
    <row r="120" spans="17:17" x14ac:dyDescent="0.2">
      <c r="Q120" s="16"/>
    </row>
    <row r="121" spans="17:17" x14ac:dyDescent="0.2">
      <c r="Q121" s="16"/>
    </row>
    <row r="122" spans="17:17" x14ac:dyDescent="0.2">
      <c r="Q122" s="16"/>
    </row>
    <row r="123" spans="17:17" x14ac:dyDescent="0.2">
      <c r="Q123" s="16"/>
    </row>
    <row r="124" spans="17:17" x14ac:dyDescent="0.2">
      <c r="Q124" s="16"/>
    </row>
    <row r="125" spans="17:17" x14ac:dyDescent="0.2">
      <c r="Q125" s="16"/>
    </row>
    <row r="126" spans="17:17" x14ac:dyDescent="0.2">
      <c r="Q126" s="16"/>
    </row>
    <row r="127" spans="17:17" x14ac:dyDescent="0.2">
      <c r="Q127" s="16"/>
    </row>
    <row r="128" spans="17:17" x14ac:dyDescent="0.2">
      <c r="Q128" s="16"/>
    </row>
    <row r="129" spans="17:17" x14ac:dyDescent="0.2">
      <c r="Q129" s="16"/>
    </row>
    <row r="130" spans="17:17" x14ac:dyDescent="0.2">
      <c r="Q130" s="16"/>
    </row>
    <row r="131" spans="17:17" x14ac:dyDescent="0.2">
      <c r="Q131" s="16"/>
    </row>
    <row r="132" spans="17:17" x14ac:dyDescent="0.2">
      <c r="Q132" s="16"/>
    </row>
    <row r="133" spans="17:17" x14ac:dyDescent="0.2">
      <c r="Q133" s="16"/>
    </row>
    <row r="134" spans="17:17" x14ac:dyDescent="0.2">
      <c r="Q134" s="16"/>
    </row>
    <row r="135" spans="17:17" x14ac:dyDescent="0.2">
      <c r="Q135" s="16"/>
    </row>
    <row r="136" spans="17:17" x14ac:dyDescent="0.2">
      <c r="Q136" s="16"/>
    </row>
    <row r="137" spans="17:17" x14ac:dyDescent="0.2">
      <c r="Q137" s="16"/>
    </row>
    <row r="138" spans="17:17" x14ac:dyDescent="0.2">
      <c r="Q138" s="16"/>
    </row>
    <row r="139" spans="17:17" x14ac:dyDescent="0.2">
      <c r="Q139" s="16"/>
    </row>
    <row r="140" spans="17:17" x14ac:dyDescent="0.2">
      <c r="Q140" s="16"/>
    </row>
    <row r="141" spans="17:17" x14ac:dyDescent="0.2">
      <c r="Q141" s="16"/>
    </row>
    <row r="142" spans="17:17" x14ac:dyDescent="0.2">
      <c r="Q142" s="16"/>
    </row>
    <row r="143" spans="17:17" x14ac:dyDescent="0.2">
      <c r="Q143" s="16"/>
    </row>
    <row r="144" spans="17:17" x14ac:dyDescent="0.2">
      <c r="Q144" s="16"/>
    </row>
    <row r="145" spans="6:17" x14ac:dyDescent="0.2">
      <c r="Q145" s="16"/>
    </row>
    <row r="146" spans="6:17" x14ac:dyDescent="0.2">
      <c r="Q146" s="16"/>
    </row>
    <row r="147" spans="6:17" x14ac:dyDescent="0.2">
      <c r="Q147" s="16"/>
    </row>
    <row r="148" spans="6:17" x14ac:dyDescent="0.2">
      <c r="Q148" s="16"/>
    </row>
    <row r="149" spans="6:17" x14ac:dyDescent="0.2">
      <c r="Q149" s="16"/>
    </row>
    <row r="150" spans="6:17" x14ac:dyDescent="0.2">
      <c r="Q150" s="16"/>
    </row>
    <row r="151" spans="6:17" x14ac:dyDescent="0.2">
      <c r="Q151" s="16"/>
    </row>
    <row r="152" spans="6:17" x14ac:dyDescent="0.2">
      <c r="Q152" s="16"/>
    </row>
    <row r="153" spans="6:17" x14ac:dyDescent="0.2">
      <c r="Q153" s="16"/>
    </row>
    <row r="154" spans="6:17" x14ac:dyDescent="0.2">
      <c r="F154" s="2">
        <f>SUM(F145:F153)</f>
        <v>0</v>
      </c>
      <c r="Q154" s="16"/>
    </row>
    <row r="155" spans="6:17" x14ac:dyDescent="0.2">
      <c r="Q155" s="16"/>
    </row>
    <row r="156" spans="6:17" x14ac:dyDescent="0.2">
      <c r="Q156" s="16"/>
    </row>
    <row r="157" spans="6:17" x14ac:dyDescent="0.2">
      <c r="Q157" s="16"/>
    </row>
    <row r="158" spans="6:17" x14ac:dyDescent="0.2">
      <c r="Q158" s="16"/>
    </row>
    <row r="159" spans="6:17" x14ac:dyDescent="0.2">
      <c r="Q159" s="16"/>
    </row>
    <row r="160" spans="6:17" x14ac:dyDescent="0.2">
      <c r="Q160" s="16"/>
    </row>
    <row r="161" spans="17:17" x14ac:dyDescent="0.2">
      <c r="Q161" s="16"/>
    </row>
    <row r="162" spans="17:17" x14ac:dyDescent="0.2">
      <c r="Q162" s="16"/>
    </row>
    <row r="163" spans="17:17" x14ac:dyDescent="0.2">
      <c r="Q163" s="16"/>
    </row>
    <row r="164" spans="17:17" x14ac:dyDescent="0.2">
      <c r="Q164" s="16"/>
    </row>
    <row r="165" spans="17:17" x14ac:dyDescent="0.2">
      <c r="Q165" s="16"/>
    </row>
    <row r="166" spans="17:17" x14ac:dyDescent="0.2">
      <c r="Q166" s="16"/>
    </row>
    <row r="167" spans="17:17" x14ac:dyDescent="0.2">
      <c r="Q167" s="16"/>
    </row>
    <row r="168" spans="17:17" x14ac:dyDescent="0.2">
      <c r="Q168" s="16"/>
    </row>
    <row r="169" spans="17:17" x14ac:dyDescent="0.2">
      <c r="Q169" s="16"/>
    </row>
    <row r="170" spans="17:17" x14ac:dyDescent="0.2">
      <c r="Q170" s="16"/>
    </row>
    <row r="171" spans="17:17" x14ac:dyDescent="0.2">
      <c r="Q171" s="16"/>
    </row>
    <row r="172" spans="17:17" x14ac:dyDescent="0.2">
      <c r="Q172" s="16"/>
    </row>
    <row r="173" spans="17:17" x14ac:dyDescent="0.2">
      <c r="Q173" s="16"/>
    </row>
    <row r="174" spans="17:17" x14ac:dyDescent="0.2">
      <c r="Q174" s="16"/>
    </row>
    <row r="175" spans="17:17" x14ac:dyDescent="0.2">
      <c r="Q175" s="16"/>
    </row>
    <row r="176" spans="17:17" x14ac:dyDescent="0.2">
      <c r="Q176" s="16"/>
    </row>
    <row r="177" spans="17:17" x14ac:dyDescent="0.2">
      <c r="Q177" s="16"/>
    </row>
    <row r="178" spans="17:17" x14ac:dyDescent="0.2">
      <c r="Q178" s="16"/>
    </row>
    <row r="179" spans="17:17" x14ac:dyDescent="0.2">
      <c r="Q179" s="16"/>
    </row>
    <row r="180" spans="17:17" x14ac:dyDescent="0.2">
      <c r="Q180" s="16"/>
    </row>
    <row r="181" spans="17:17" x14ac:dyDescent="0.2">
      <c r="Q181" s="16"/>
    </row>
    <row r="182" spans="17:17" x14ac:dyDescent="0.2">
      <c r="Q182" s="16"/>
    </row>
    <row r="183" spans="17:17" x14ac:dyDescent="0.2">
      <c r="Q183" s="16"/>
    </row>
    <row r="184" spans="17:17" x14ac:dyDescent="0.2">
      <c r="Q184" s="16"/>
    </row>
    <row r="185" spans="17:17" x14ac:dyDescent="0.2">
      <c r="Q185" s="16"/>
    </row>
    <row r="186" spans="17:17" x14ac:dyDescent="0.2">
      <c r="Q186" s="16"/>
    </row>
    <row r="187" spans="17:17" x14ac:dyDescent="0.2">
      <c r="Q187" s="16"/>
    </row>
    <row r="188" spans="17:17" x14ac:dyDescent="0.2">
      <c r="Q188" s="16"/>
    </row>
    <row r="189" spans="17:17" x14ac:dyDescent="0.2">
      <c r="Q189" s="16"/>
    </row>
    <row r="190" spans="17:17" x14ac:dyDescent="0.2">
      <c r="Q190" s="16"/>
    </row>
    <row r="191" spans="17:17" x14ac:dyDescent="0.2">
      <c r="Q191" s="16"/>
    </row>
    <row r="192" spans="17:17" x14ac:dyDescent="0.2">
      <c r="Q192" s="16"/>
    </row>
    <row r="193" spans="17:17" x14ac:dyDescent="0.2">
      <c r="Q193" s="16"/>
    </row>
    <row r="194" spans="17:17" x14ac:dyDescent="0.2">
      <c r="Q194" s="16"/>
    </row>
    <row r="195" spans="17:17" x14ac:dyDescent="0.2">
      <c r="Q195" s="16"/>
    </row>
    <row r="196" spans="17:17" x14ac:dyDescent="0.2">
      <c r="Q196" s="16"/>
    </row>
    <row r="197" spans="17:17" x14ac:dyDescent="0.2">
      <c r="Q197" s="16"/>
    </row>
    <row r="198" spans="17:17" x14ac:dyDescent="0.2">
      <c r="Q198" s="16"/>
    </row>
    <row r="199" spans="17:17" x14ac:dyDescent="0.2">
      <c r="Q199" s="16"/>
    </row>
    <row r="200" spans="17:17" x14ac:dyDescent="0.2">
      <c r="Q200" s="16"/>
    </row>
    <row r="201" spans="17:17" x14ac:dyDescent="0.2">
      <c r="Q201" s="16"/>
    </row>
    <row r="202" spans="17:17" x14ac:dyDescent="0.2">
      <c r="Q202" s="16"/>
    </row>
    <row r="203" spans="17:17" x14ac:dyDescent="0.2">
      <c r="Q203" s="16"/>
    </row>
    <row r="204" spans="17:17" x14ac:dyDescent="0.2">
      <c r="Q204" s="16"/>
    </row>
    <row r="205" spans="17:17" x14ac:dyDescent="0.2">
      <c r="Q205" s="16"/>
    </row>
    <row r="206" spans="17:17" x14ac:dyDescent="0.2">
      <c r="Q206" s="16"/>
    </row>
    <row r="207" spans="17:17" x14ac:dyDescent="0.2">
      <c r="Q207" s="16"/>
    </row>
    <row r="208" spans="17:17" x14ac:dyDescent="0.2">
      <c r="Q208" s="16"/>
    </row>
    <row r="209" spans="17:17" x14ac:dyDescent="0.2">
      <c r="Q209" s="16"/>
    </row>
    <row r="210" spans="17:17" x14ac:dyDescent="0.2">
      <c r="Q210" s="16"/>
    </row>
    <row r="211" spans="17:17" x14ac:dyDescent="0.2">
      <c r="Q211" s="16"/>
    </row>
    <row r="212" spans="17:17" x14ac:dyDescent="0.2">
      <c r="Q212" s="16"/>
    </row>
    <row r="213" spans="17:17" x14ac:dyDescent="0.2">
      <c r="Q213" s="16"/>
    </row>
    <row r="214" spans="17:17" x14ac:dyDescent="0.2">
      <c r="Q214" s="16"/>
    </row>
    <row r="215" spans="17:17" x14ac:dyDescent="0.2">
      <c r="Q215" s="16"/>
    </row>
    <row r="216" spans="17:17" x14ac:dyDescent="0.2">
      <c r="Q216" s="16"/>
    </row>
    <row r="217" spans="17:17" x14ac:dyDescent="0.2">
      <c r="Q217" s="16"/>
    </row>
    <row r="218" spans="17:17" x14ac:dyDescent="0.2">
      <c r="Q218" s="16"/>
    </row>
    <row r="219" spans="17:17" x14ac:dyDescent="0.2">
      <c r="Q219" s="16"/>
    </row>
    <row r="220" spans="17:17" x14ac:dyDescent="0.2">
      <c r="Q220" s="16"/>
    </row>
    <row r="221" spans="17:17" x14ac:dyDescent="0.2">
      <c r="Q221" s="16"/>
    </row>
    <row r="222" spans="17:17" x14ac:dyDescent="0.2">
      <c r="Q222" s="16"/>
    </row>
    <row r="223" spans="17:17" x14ac:dyDescent="0.2">
      <c r="Q223" s="16"/>
    </row>
    <row r="224" spans="17:17" x14ac:dyDescent="0.2">
      <c r="Q224" s="16"/>
    </row>
    <row r="225" spans="17:17" x14ac:dyDescent="0.2">
      <c r="Q225" s="16"/>
    </row>
    <row r="226" spans="17:17" x14ac:dyDescent="0.2">
      <c r="Q226" s="16"/>
    </row>
    <row r="227" spans="17:17" x14ac:dyDescent="0.2">
      <c r="Q227" s="16"/>
    </row>
    <row r="228" spans="17:17" x14ac:dyDescent="0.2">
      <c r="Q228" s="16"/>
    </row>
    <row r="229" spans="17:17" x14ac:dyDescent="0.2">
      <c r="Q229" s="16"/>
    </row>
    <row r="230" spans="17:17" x14ac:dyDescent="0.2">
      <c r="Q230" s="16"/>
    </row>
    <row r="231" spans="17:17" x14ac:dyDescent="0.2">
      <c r="Q231" s="16"/>
    </row>
    <row r="232" spans="17:17" x14ac:dyDescent="0.2">
      <c r="Q232" s="16"/>
    </row>
    <row r="233" spans="17:17" x14ac:dyDescent="0.2">
      <c r="Q233" s="16"/>
    </row>
    <row r="234" spans="17:17" x14ac:dyDescent="0.2">
      <c r="Q234" s="16"/>
    </row>
    <row r="235" spans="17:17" x14ac:dyDescent="0.2">
      <c r="Q235" s="16"/>
    </row>
    <row r="236" spans="17:17" x14ac:dyDescent="0.2">
      <c r="Q236" s="16"/>
    </row>
    <row r="237" spans="17:17" x14ac:dyDescent="0.2">
      <c r="Q237" s="16"/>
    </row>
    <row r="238" spans="17:17" x14ac:dyDescent="0.2">
      <c r="Q238" s="16"/>
    </row>
    <row r="239" spans="17:17" x14ac:dyDescent="0.2">
      <c r="Q239" s="16"/>
    </row>
    <row r="240" spans="17:17" x14ac:dyDescent="0.2">
      <c r="Q240" s="16"/>
    </row>
    <row r="241" spans="17:17" x14ac:dyDescent="0.2">
      <c r="Q241" s="16"/>
    </row>
    <row r="242" spans="17:17" x14ac:dyDescent="0.2">
      <c r="Q242" s="16"/>
    </row>
    <row r="243" spans="17:17" x14ac:dyDescent="0.2">
      <c r="Q243" s="16"/>
    </row>
    <row r="244" spans="17:17" x14ac:dyDescent="0.2">
      <c r="Q244" s="16"/>
    </row>
    <row r="245" spans="17:17" x14ac:dyDescent="0.2">
      <c r="Q245" s="16"/>
    </row>
    <row r="246" spans="17:17" x14ac:dyDescent="0.2">
      <c r="Q246" s="16"/>
    </row>
    <row r="247" spans="17:17" x14ac:dyDescent="0.2">
      <c r="Q247" s="16"/>
    </row>
    <row r="248" spans="17:17" x14ac:dyDescent="0.2">
      <c r="Q248" s="16"/>
    </row>
    <row r="249" spans="17:17" x14ac:dyDescent="0.2">
      <c r="Q249" s="16"/>
    </row>
    <row r="250" spans="17:17" x14ac:dyDescent="0.2">
      <c r="Q250" s="16"/>
    </row>
    <row r="251" spans="17:17" x14ac:dyDescent="0.2">
      <c r="Q251" s="16"/>
    </row>
    <row r="252" spans="17:17" x14ac:dyDescent="0.2">
      <c r="Q252" s="16"/>
    </row>
    <row r="253" spans="17:17" x14ac:dyDescent="0.2">
      <c r="Q253" s="16"/>
    </row>
    <row r="254" spans="17:17" x14ac:dyDescent="0.2">
      <c r="Q254" s="16"/>
    </row>
    <row r="255" spans="17:17" x14ac:dyDescent="0.2">
      <c r="Q255" s="16"/>
    </row>
    <row r="256" spans="17:17" x14ac:dyDescent="0.2">
      <c r="Q256" s="16"/>
    </row>
    <row r="257" spans="17:17" x14ac:dyDescent="0.2">
      <c r="Q257" s="16"/>
    </row>
    <row r="258" spans="17:17" x14ac:dyDescent="0.2">
      <c r="Q258" s="16"/>
    </row>
    <row r="259" spans="17:17" x14ac:dyDescent="0.2">
      <c r="Q259" s="16"/>
    </row>
    <row r="260" spans="17:17" x14ac:dyDescent="0.2">
      <c r="Q260" s="16"/>
    </row>
    <row r="261" spans="17:17" x14ac:dyDescent="0.2">
      <c r="Q261" s="16"/>
    </row>
    <row r="262" spans="17:17" x14ac:dyDescent="0.2">
      <c r="Q262" s="16"/>
    </row>
    <row r="263" spans="17:17" x14ac:dyDescent="0.2">
      <c r="Q263" s="16"/>
    </row>
    <row r="264" spans="17:17" x14ac:dyDescent="0.2">
      <c r="Q264" s="16"/>
    </row>
    <row r="265" spans="17:17" x14ac:dyDescent="0.2">
      <c r="Q265" s="16"/>
    </row>
    <row r="266" spans="17:17" x14ac:dyDescent="0.2">
      <c r="Q266" s="16"/>
    </row>
    <row r="267" spans="17:17" x14ac:dyDescent="0.2">
      <c r="Q267" s="16"/>
    </row>
    <row r="268" spans="17:17" x14ac:dyDescent="0.2">
      <c r="Q268" s="16"/>
    </row>
    <row r="269" spans="17:17" x14ac:dyDescent="0.2">
      <c r="Q269" s="16"/>
    </row>
    <row r="270" spans="17:17" x14ac:dyDescent="0.2">
      <c r="Q270" s="16"/>
    </row>
    <row r="271" spans="17:17" x14ac:dyDescent="0.2">
      <c r="Q271" s="16"/>
    </row>
    <row r="272" spans="17:17" x14ac:dyDescent="0.2">
      <c r="Q272" s="16"/>
    </row>
    <row r="273" spans="17:17" x14ac:dyDescent="0.2">
      <c r="Q273" s="16"/>
    </row>
    <row r="274" spans="17:17" x14ac:dyDescent="0.2">
      <c r="Q274" s="16"/>
    </row>
    <row r="275" spans="17:17" x14ac:dyDescent="0.2">
      <c r="Q275" s="16"/>
    </row>
    <row r="276" spans="17:17" x14ac:dyDescent="0.2">
      <c r="Q276" s="16"/>
    </row>
    <row r="277" spans="17:17" x14ac:dyDescent="0.2">
      <c r="Q277" s="16"/>
    </row>
    <row r="278" spans="17:17" x14ac:dyDescent="0.2">
      <c r="Q278" s="16"/>
    </row>
    <row r="279" spans="17:17" x14ac:dyDescent="0.2">
      <c r="Q279" s="16"/>
    </row>
    <row r="280" spans="17:17" x14ac:dyDescent="0.2">
      <c r="Q280" s="16"/>
    </row>
    <row r="281" spans="17:17" x14ac:dyDescent="0.2">
      <c r="Q281" s="16"/>
    </row>
    <row r="282" spans="17:17" x14ac:dyDescent="0.2">
      <c r="Q282" s="16"/>
    </row>
    <row r="283" spans="17:17" x14ac:dyDescent="0.2">
      <c r="Q283" s="16"/>
    </row>
    <row r="284" spans="17:17" x14ac:dyDescent="0.2">
      <c r="Q284" s="16"/>
    </row>
    <row r="285" spans="17:17" x14ac:dyDescent="0.2">
      <c r="Q285" s="16"/>
    </row>
  </sheetData>
  <customSheetViews>
    <customSheetView guid="{60788006-5C2B-4CAF-8D5B-3FA82F99F0BB}" showPageBreaks="1" printArea="1" view="pageBreakPreview">
      <pane xSplit="3" ySplit="3" topLeftCell="D85" activePane="bottomRight" state="frozen"/>
      <selection pane="bottomRight" activeCell="K105" sqref="K105"/>
      <rowBreaks count="1" manualBreakCount="1">
        <brk id="58" max="17" man="1"/>
      </rowBreaks>
      <pageMargins left="0" right="0" top="0" bottom="0" header="0.31496062992125984" footer="0.31496062992125984"/>
      <pageSetup paperSize="8" scale="85" orientation="landscape" r:id="rId1"/>
      <headerFooter alignWithMargins="0"/>
    </customSheetView>
    <customSheetView guid="{6C0BD6A7-6718-429D-82D9-D2FE0341EA2C}" showPageBreaks="1" printArea="1" hiddenColumns="1" view="pageBreakPreview">
      <pane xSplit="3" ySplit="3" topLeftCell="D73" activePane="bottomRight" state="frozen"/>
      <selection pane="bottomRight" activeCell="H75" sqref="H75"/>
      <rowBreaks count="1" manualBreakCount="1">
        <brk id="58" max="17" man="1"/>
      </rowBreaks>
      <pageMargins left="0" right="0" top="0" bottom="0" header="0.31496062992125984" footer="0.31496062992125984"/>
      <pageSetup paperSize="8" scale="85" orientation="landscape" r:id="rId2"/>
      <headerFooter alignWithMargins="0"/>
    </customSheetView>
    <customSheetView guid="{594C4AB0-8D5F-4373-9663-410F4413FE3A}" showPageBreaks="1" printArea="1" hiddenColumns="1" view="pageBreakPreview">
      <pane xSplit="3" ySplit="3" topLeftCell="D4" activePane="bottomRight" state="frozen"/>
      <selection pane="bottomRight" activeCell="F17" sqref="F17"/>
      <rowBreaks count="1" manualBreakCount="1">
        <brk id="58" max="17" man="1"/>
      </rowBreaks>
      <pageMargins left="0" right="0" top="0" bottom="0" header="0.31496062992125984" footer="0.31496062992125984"/>
      <pageSetup paperSize="8" scale="85" orientation="landscape" r:id="rId3"/>
      <headerFooter alignWithMargins="0"/>
    </customSheetView>
    <customSheetView guid="{DF69299D-7752-4436-A45D-28F739CEE21B}" showPageBreaks="1" printArea="1" view="pageBreakPreview">
      <pane xSplit="3" ySplit="3" topLeftCell="D85" activePane="bottomRight" state="frozen"/>
      <selection pane="bottomRight" activeCell="F13" sqref="F13"/>
      <rowBreaks count="1" manualBreakCount="1">
        <brk id="58" max="17" man="1"/>
      </rowBreaks>
      <pageMargins left="0" right="0" top="0" bottom="0" header="0.31496062992125984" footer="0.31496062992125984"/>
      <pageSetup paperSize="8" scale="85" orientation="landscape" r:id="rId4"/>
      <headerFooter alignWithMargins="0"/>
    </customSheetView>
  </customSheetViews>
  <mergeCells count="9">
    <mergeCell ref="D5:F5"/>
    <mergeCell ref="D72:F72"/>
    <mergeCell ref="D11:F11"/>
    <mergeCell ref="D85:F85"/>
    <mergeCell ref="D27:F27"/>
    <mergeCell ref="D51:F51"/>
    <mergeCell ref="D58:F58"/>
    <mergeCell ref="D65:F65"/>
    <mergeCell ref="D79:F79"/>
  </mergeCells>
  <phoneticPr fontId="0" type="noConversion"/>
  <pageMargins left="0" right="0" top="0" bottom="0" header="0.31496062992125984" footer="0.31496062992125984"/>
  <pageSetup paperSize="8" scale="85" orientation="landscape" r:id="rId5"/>
  <headerFooter alignWithMargins="0"/>
  <rowBreaks count="1" manualBreakCount="1">
    <brk id="58" max="1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>
    <tabColor indexed="48"/>
  </sheetPr>
  <dimension ref="A1:V402"/>
  <sheetViews>
    <sheetView tabSelected="1" view="pageBreakPreview" zoomScaleSheetLayoutView="100" workbookViewId="0">
      <pane xSplit="3" ySplit="3" topLeftCell="D121" activePane="bottomRight" state="frozen"/>
      <selection pane="topRight" activeCell="D1" sqref="D1"/>
      <selection pane="bottomLeft" activeCell="A4" sqref="A4"/>
      <selection pane="bottomRight" activeCell="F137" sqref="F137"/>
    </sheetView>
  </sheetViews>
  <sheetFormatPr defaultColWidth="9.21875" defaultRowHeight="10.199999999999999" x14ac:dyDescent="0.2"/>
  <cols>
    <col min="1" max="1" width="28.21875" style="2" bestFit="1" customWidth="1"/>
    <col min="2" max="2" width="14" style="2" bestFit="1" customWidth="1"/>
    <col min="3" max="3" width="4.44140625" style="4" bestFit="1" customWidth="1"/>
    <col min="4" max="4" width="8.77734375" style="13" bestFit="1" customWidth="1"/>
    <col min="5" max="5" width="14" style="2" bestFit="1" customWidth="1"/>
    <col min="6" max="12" width="13.21875" style="2" bestFit="1" customWidth="1"/>
    <col min="13" max="13" width="14.77734375" style="2" bestFit="1" customWidth="1"/>
    <col min="14" max="14" width="13.21875" style="2" bestFit="1" customWidth="1"/>
    <col min="15" max="15" width="14" style="2" bestFit="1" customWidth="1"/>
    <col min="16" max="16" width="11.21875" style="11" hidden="1" customWidth="1"/>
    <col min="17" max="17" width="12.21875" style="21" bestFit="1" customWidth="1"/>
    <col min="18" max="18" width="13.21875" style="2" bestFit="1" customWidth="1"/>
    <col min="19" max="21" width="14" style="2" bestFit="1" customWidth="1"/>
    <col min="22" max="22" width="13.21875" style="2" bestFit="1" customWidth="1"/>
    <col min="23" max="16384" width="9.21875" style="2"/>
  </cols>
  <sheetData>
    <row r="1" spans="1:17" ht="15.6" x14ac:dyDescent="0.3">
      <c r="A1" s="360" t="s">
        <v>1568</v>
      </c>
      <c r="B1" s="359"/>
      <c r="C1" s="366"/>
      <c r="D1" s="13" t="s">
        <v>21</v>
      </c>
      <c r="F1" s="360" t="s">
        <v>21</v>
      </c>
    </row>
    <row r="3" spans="1:17" ht="25.5" customHeight="1" x14ac:dyDescent="0.2">
      <c r="A3" s="293" t="s">
        <v>1</v>
      </c>
      <c r="B3" s="293" t="s">
        <v>0</v>
      </c>
      <c r="C3" s="294" t="s">
        <v>2</v>
      </c>
      <c r="D3" s="295" t="s">
        <v>3</v>
      </c>
      <c r="E3" s="296" t="s">
        <v>145</v>
      </c>
      <c r="F3" s="296" t="s">
        <v>1450</v>
      </c>
      <c r="G3" s="296" t="s">
        <v>131</v>
      </c>
      <c r="H3" s="296" t="s">
        <v>147</v>
      </c>
      <c r="I3" s="296" t="s">
        <v>137</v>
      </c>
      <c r="J3" s="296" t="s">
        <v>138</v>
      </c>
      <c r="K3" s="296" t="s">
        <v>134</v>
      </c>
      <c r="L3" s="293" t="str">
        <f>+mayor!L3</f>
        <v>INTEREST</v>
      </c>
      <c r="M3" s="293" t="s">
        <v>12</v>
      </c>
      <c r="N3" s="296" t="s">
        <v>146</v>
      </c>
      <c r="O3" s="296" t="s">
        <v>135</v>
      </c>
      <c r="P3" s="299" t="s">
        <v>63</v>
      </c>
      <c r="Q3" s="300" t="s">
        <v>11</v>
      </c>
    </row>
    <row r="4" spans="1:17" ht="10.8" thickBot="1" x14ac:dyDescent="0.25"/>
    <row r="5" spans="1:17" ht="10.8" thickBot="1" x14ac:dyDescent="0.25">
      <c r="A5" s="283" t="s">
        <v>10</v>
      </c>
      <c r="B5" s="284" t="s">
        <v>440</v>
      </c>
      <c r="D5" s="556" t="s">
        <v>210</v>
      </c>
      <c r="E5" s="557"/>
      <c r="F5" s="558"/>
    </row>
    <row r="6" spans="1:17" x14ac:dyDescent="0.2">
      <c r="Q6" s="16"/>
    </row>
    <row r="7" spans="1:17" x14ac:dyDescent="0.2">
      <c r="A7" s="482" t="str">
        <f>+'1-10'!C17</f>
        <v>ISUZU KB200i 2x4 [103]</v>
      </c>
      <c r="B7" s="508" t="str">
        <f>+'1-10'!R17</f>
        <v>CMB 471 L</v>
      </c>
      <c r="C7" s="483">
        <v>616</v>
      </c>
      <c r="D7" s="6">
        <v>30000</v>
      </c>
      <c r="E7" s="514">
        <f>+D7/P7*(CALC!$A$4)*1.01</f>
        <v>106754.12293853074</v>
      </c>
      <c r="F7" s="28">
        <v>23400</v>
      </c>
      <c r="G7" s="28">
        <f>CALC!$A$23*(CEM!I7/CEM!I$148)</f>
        <v>2271.2521186022946</v>
      </c>
      <c r="H7" s="28">
        <f>35000*(1+CALC!B$14)</f>
        <v>37800</v>
      </c>
      <c r="I7" s="28">
        <v>15393.84</v>
      </c>
      <c r="J7" s="28"/>
      <c r="K7" s="522">
        <f>678*(1+CALC!B$13)</f>
        <v>759.36000000000013</v>
      </c>
      <c r="L7" s="28"/>
      <c r="M7" s="28">
        <f>SUM(E7:L7)</f>
        <v>186378.57505713301</v>
      </c>
      <c r="N7" s="24">
        <f>M7/CALC!$A$8*CALC!$A$6</f>
        <v>3640.1554684190451</v>
      </c>
      <c r="O7" s="28">
        <f>+M7+N7</f>
        <v>190018.73052555206</v>
      </c>
      <c r="P7" s="37">
        <v>6.67</v>
      </c>
      <c r="Q7" s="38"/>
    </row>
    <row r="8" spans="1:17" x14ac:dyDescent="0.2">
      <c r="A8" s="482" t="str">
        <f>+'1-10'!C21</f>
        <v>ISUZU KB200i 2x4 [103]</v>
      </c>
      <c r="B8" s="508" t="str">
        <f>+'1-10'!R21</f>
        <v>CMB 598 L</v>
      </c>
      <c r="C8" s="483">
        <v>620</v>
      </c>
      <c r="D8" s="6">
        <v>10000</v>
      </c>
      <c r="E8" s="514">
        <f>+D8/P8*(CALC!$A$4)*1.01</f>
        <v>35584.707646176917</v>
      </c>
      <c r="F8" s="28">
        <v>23400</v>
      </c>
      <c r="G8" s="28">
        <f>CALC!$A$23*(CEM!I8/CEM!I$148)</f>
        <v>2271.2521186022946</v>
      </c>
      <c r="H8" s="28">
        <f>35000*(1+CALC!B$14)</f>
        <v>37800</v>
      </c>
      <c r="I8" s="28">
        <v>15393.84</v>
      </c>
      <c r="J8" s="28"/>
      <c r="K8" s="522">
        <f>678*(1+CALC!B$13)</f>
        <v>759.36000000000013</v>
      </c>
      <c r="L8" s="28"/>
      <c r="M8" s="28">
        <f>SUM(E8:L8)</f>
        <v>115209.15976477921</v>
      </c>
      <c r="N8" s="24">
        <f>M8/CALC!$A$8*CALC!$A$6</f>
        <v>2250.1473294404509</v>
      </c>
      <c r="O8" s="28">
        <f>+M8+N8</f>
        <v>117459.30709421966</v>
      </c>
      <c r="P8" s="37">
        <v>6.67</v>
      </c>
      <c r="Q8" s="38"/>
    </row>
    <row r="9" spans="1:17" s="7" customFormat="1" x14ac:dyDescent="0.2">
      <c r="B9" s="3" t="s">
        <v>14</v>
      </c>
      <c r="C9" s="18"/>
      <c r="D9" s="12">
        <f t="shared" ref="D9:K9" si="0">SUM(D7:D8)</f>
        <v>40000</v>
      </c>
      <c r="E9" s="24">
        <f t="shared" si="0"/>
        <v>142338.83058470767</v>
      </c>
      <c r="F9" s="24">
        <f t="shared" si="0"/>
        <v>46800</v>
      </c>
      <c r="G9" s="24">
        <f t="shared" si="0"/>
        <v>4542.5042372045891</v>
      </c>
      <c r="H9" s="24">
        <f t="shared" si="0"/>
        <v>75600</v>
      </c>
      <c r="I9" s="24">
        <f t="shared" si="0"/>
        <v>30787.68</v>
      </c>
      <c r="J9" s="24">
        <f t="shared" si="0"/>
        <v>0</v>
      </c>
      <c r="K9" s="24">
        <f t="shared" si="0"/>
        <v>1518.7200000000003</v>
      </c>
      <c r="L9" s="24">
        <f>+L7+L8</f>
        <v>0</v>
      </c>
      <c r="M9" s="24">
        <f>SUM(M7:M8)</f>
        <v>301587.73482191225</v>
      </c>
      <c r="N9" s="24">
        <f>SUM(N7:N8)</f>
        <v>5890.3027978594964</v>
      </c>
      <c r="O9" s="24">
        <f>SUM(O7:O8)</f>
        <v>307478.03761977173</v>
      </c>
      <c r="P9" s="39"/>
      <c r="Q9" s="312">
        <f>(+O9/D9)*(1+CALC!$A$3)</f>
        <v>7.6869509404942935</v>
      </c>
    </row>
    <row r="10" spans="1:17" ht="10.8" thickBot="1" x14ac:dyDescent="0.25">
      <c r="Q10" s="16"/>
    </row>
    <row r="11" spans="1:17" ht="10.8" thickBot="1" x14ac:dyDescent="0.25">
      <c r="A11" s="283" t="s">
        <v>10</v>
      </c>
      <c r="B11" s="284" t="s">
        <v>441</v>
      </c>
      <c r="D11" s="556" t="s">
        <v>237</v>
      </c>
      <c r="E11" s="557"/>
      <c r="F11" s="558"/>
      <c r="Q11" s="16"/>
    </row>
    <row r="12" spans="1:17" x14ac:dyDescent="0.2">
      <c r="Q12" s="16"/>
    </row>
    <row r="13" spans="1:17" x14ac:dyDescent="0.2">
      <c r="A13" s="482" t="str">
        <f>+'1-10'!C43</f>
        <v>NISSAN NP 300 4X4 [063]</v>
      </c>
      <c r="B13" s="508" t="str">
        <f>+'1-10'!R43</f>
        <v>CLW 537 L</v>
      </c>
      <c r="C13" s="483">
        <v>642</v>
      </c>
      <c r="D13" s="6">
        <v>30000</v>
      </c>
      <c r="E13" s="514">
        <f>+D13/P13*(CALC!$A$4)*1.2</f>
        <v>93069.30693069307</v>
      </c>
      <c r="F13" s="28">
        <v>23400</v>
      </c>
      <c r="G13" s="28">
        <f>CALC!$A$23*(CEM!I13/CEM!I$148)</f>
        <v>3186.6895489298718</v>
      </c>
      <c r="H13" s="28">
        <f>35000*(1+CALC!B$14)</f>
        <v>37800</v>
      </c>
      <c r="I13" s="28">
        <v>21598.39</v>
      </c>
      <c r="J13" s="28"/>
      <c r="K13" s="522">
        <f>678*(1+CALC!B$13)</f>
        <v>759.36000000000013</v>
      </c>
      <c r="L13" s="28"/>
      <c r="M13" s="28">
        <f>SUM(E13:L13)</f>
        <v>179813.74647962296</v>
      </c>
      <c r="N13" s="28">
        <f>M13/CALC!$A$8*CALC!$A$6</f>
        <v>3511.9379593071135</v>
      </c>
      <c r="O13" s="28">
        <f>+M13+N13</f>
        <v>183325.68443893007</v>
      </c>
      <c r="P13" s="37">
        <v>9.09</v>
      </c>
      <c r="Q13" s="38"/>
    </row>
    <row r="14" spans="1:17" x14ac:dyDescent="0.2">
      <c r="A14" s="482" t="str">
        <f>+'1-10'!C44</f>
        <v>NISSAN NP 300 4X4 [063]</v>
      </c>
      <c r="B14" s="508" t="str">
        <f>+'1-10'!R44</f>
        <v>CLW 553 L</v>
      </c>
      <c r="C14" s="483">
        <v>643</v>
      </c>
      <c r="D14" s="6">
        <v>30000</v>
      </c>
      <c r="E14" s="514">
        <f>+D14/P14*(CALC!$A$4)*1.01</f>
        <v>78333.333333333343</v>
      </c>
      <c r="F14" s="28">
        <v>23400</v>
      </c>
      <c r="G14" s="28">
        <f>CALC!$A$23*(CEM!I14/CEM!I$148)</f>
        <v>4367.0329167197388</v>
      </c>
      <c r="H14" s="28">
        <f>35000*(1+CALC!B$14)</f>
        <v>37800</v>
      </c>
      <c r="I14" s="28">
        <v>29598.39</v>
      </c>
      <c r="J14" s="28"/>
      <c r="K14" s="522">
        <f>678*(1+CALC!B$13)</f>
        <v>759.36000000000013</v>
      </c>
      <c r="L14" s="28"/>
      <c r="M14" s="28">
        <f>SUM(E14:L14)</f>
        <v>174258.11625005305</v>
      </c>
      <c r="N14" s="28">
        <f>M14/CALC!$A$8*CALC!$A$6</f>
        <v>3403.4310788650678</v>
      </c>
      <c r="O14" s="28">
        <f>+M14+N14</f>
        <v>177661.54732891812</v>
      </c>
      <c r="P14" s="37">
        <v>9.09</v>
      </c>
      <c r="Q14" s="38"/>
    </row>
    <row r="15" spans="1:17" x14ac:dyDescent="0.2">
      <c r="A15" s="482" t="str">
        <f>+'1-10'!C45</f>
        <v>NISSAN NP 300 4X4 [073]</v>
      </c>
      <c r="B15" s="508" t="str">
        <f>+'1-10'!R45</f>
        <v>CLW 533 L</v>
      </c>
      <c r="C15" s="483">
        <v>644</v>
      </c>
      <c r="D15" s="6">
        <v>10000</v>
      </c>
      <c r="E15" s="514">
        <f>+D15/P15*(CALC!$A$4)*1.01</f>
        <v>26111.111111111109</v>
      </c>
      <c r="F15" s="28">
        <v>23400</v>
      </c>
      <c r="G15" s="28">
        <f>CALC!$A$23*(CEM!I15/CEM!I$148)</f>
        <v>3187.8123505584817</v>
      </c>
      <c r="H15" s="28">
        <f>35000*(1+CALC!B$14)</f>
        <v>37800</v>
      </c>
      <c r="I15" s="28">
        <v>21606</v>
      </c>
      <c r="J15" s="499"/>
      <c r="K15" s="522">
        <f>678*(1+CALC!B$13)</f>
        <v>759.36000000000013</v>
      </c>
      <c r="L15" s="28"/>
      <c r="M15" s="28">
        <f>SUM(E15:L15)</f>
        <v>112864.28346166959</v>
      </c>
      <c r="N15" s="28">
        <f>M15/CALC!$A$8*CALC!$A$6</f>
        <v>2204.3496067412934</v>
      </c>
      <c r="O15" s="28">
        <f>+M15+N15</f>
        <v>115068.63306841088</v>
      </c>
      <c r="P15" s="37">
        <v>9.09</v>
      </c>
      <c r="Q15" s="38"/>
    </row>
    <row r="16" spans="1:17" s="7" customFormat="1" x14ac:dyDescent="0.2">
      <c r="B16" s="3" t="s">
        <v>14</v>
      </c>
      <c r="C16" s="18"/>
      <c r="D16" s="12">
        <f>+D13+D14+D15</f>
        <v>70000</v>
      </c>
      <c r="E16" s="24">
        <f>+E13+E14+E15</f>
        <v>197513.75137513754</v>
      </c>
      <c r="F16" s="24">
        <f t="shared" ref="F16:O16" si="1">+F13+F14+F15</f>
        <v>70200</v>
      </c>
      <c r="G16" s="24">
        <f t="shared" si="1"/>
        <v>10741.534816208092</v>
      </c>
      <c r="H16" s="24">
        <f t="shared" si="1"/>
        <v>113400</v>
      </c>
      <c r="I16" s="24">
        <f t="shared" si="1"/>
        <v>72802.78</v>
      </c>
      <c r="J16" s="24">
        <f t="shared" si="1"/>
        <v>0</v>
      </c>
      <c r="K16" s="24">
        <f>SUM(K13:K15)</f>
        <v>2278.0800000000004</v>
      </c>
      <c r="L16" s="24">
        <f t="shared" si="1"/>
        <v>0</v>
      </c>
      <c r="M16" s="24">
        <f t="shared" si="1"/>
        <v>466936.14619134559</v>
      </c>
      <c r="N16" s="24">
        <f t="shared" si="1"/>
        <v>9119.7186449134751</v>
      </c>
      <c r="O16" s="24">
        <f t="shared" si="1"/>
        <v>476055.86483625905</v>
      </c>
      <c r="P16" s="39"/>
      <c r="Q16" s="312">
        <f>(+O16/D16)*(1+CALC!$A$3)</f>
        <v>6.8007980690894145</v>
      </c>
    </row>
    <row r="17" spans="1:17" ht="10.8" thickBot="1" x14ac:dyDescent="0.25">
      <c r="Q17" s="16"/>
    </row>
    <row r="18" spans="1:17" ht="10.8" thickBot="1" x14ac:dyDescent="0.25">
      <c r="A18" s="283" t="s">
        <v>10</v>
      </c>
      <c r="B18" s="284" t="s">
        <v>442</v>
      </c>
      <c r="D18" s="556" t="s">
        <v>635</v>
      </c>
      <c r="E18" s="557"/>
      <c r="F18" s="558"/>
      <c r="Q18" s="16"/>
    </row>
    <row r="19" spans="1:17" x14ac:dyDescent="0.2">
      <c r="Q19" s="16"/>
    </row>
    <row r="20" spans="1:17" x14ac:dyDescent="0.2">
      <c r="A20" s="482" t="str">
        <f>+'1-10'!C52</f>
        <v>TOYOTA DYNA 150 [063]</v>
      </c>
      <c r="B20" s="508" t="str">
        <f>+'1-10'!R52</f>
        <v>CMN 314 L</v>
      </c>
      <c r="C20" s="483">
        <v>651</v>
      </c>
      <c r="D20" s="6">
        <v>20000</v>
      </c>
      <c r="E20" s="514">
        <f>+D20/P20*(CALC!$A$4)</f>
        <v>67142.857142857145</v>
      </c>
      <c r="F20" s="28">
        <v>23400</v>
      </c>
      <c r="G20" s="28">
        <f>CALC!$A$23*(CEM!I20/CEM!I$148)</f>
        <v>2075.5320076430085</v>
      </c>
      <c r="H20" s="28">
        <f>40000*(1+CALC!B$14)</f>
        <v>43200</v>
      </c>
      <c r="I20" s="28">
        <v>14067.31</v>
      </c>
      <c r="J20" s="28"/>
      <c r="K20" s="522">
        <f>1110*(1+CALC!B$13)</f>
        <v>1243.2</v>
      </c>
      <c r="L20" s="28"/>
      <c r="M20" s="28">
        <f>SUM(E20:L20)</f>
        <v>151128.89915050016</v>
      </c>
      <c r="N20" s="28">
        <f>M20/CALC!$A$8*CALC!$A$6</f>
        <v>2951.6948957797554</v>
      </c>
      <c r="O20" s="28">
        <f>+M20+N20</f>
        <v>154080.5940462799</v>
      </c>
      <c r="P20" s="37">
        <v>7</v>
      </c>
      <c r="Q20" s="38"/>
    </row>
    <row r="21" spans="1:17" x14ac:dyDescent="0.2">
      <c r="A21" s="482" t="str">
        <f>+'1-10'!C53</f>
        <v>TOYOTA DYNA 150 [105]</v>
      </c>
      <c r="B21" s="508" t="str">
        <f>+'1-10'!R53</f>
        <v>CML 499 L</v>
      </c>
      <c r="C21" s="483">
        <v>652</v>
      </c>
      <c r="D21" s="6">
        <v>10000</v>
      </c>
      <c r="E21" s="514">
        <f>+D21/P21*(CALC!$A$4)</f>
        <v>33571.428571428572</v>
      </c>
      <c r="F21" s="28">
        <v>23400</v>
      </c>
      <c r="G21" s="28">
        <f>CALC!$A$23*(CEM!I21/CEM!I$148)</f>
        <v>2075.5320076430085</v>
      </c>
      <c r="H21" s="28">
        <f>40000*(1+CALC!B$14)</f>
        <v>43200</v>
      </c>
      <c r="I21" s="28">
        <v>14067.31</v>
      </c>
      <c r="J21" s="499"/>
      <c r="K21" s="522">
        <f>1110*(1+CALC!B$13)</f>
        <v>1243.2</v>
      </c>
      <c r="L21" s="28"/>
      <c r="M21" s="28">
        <f>SUM(E21:L21)</f>
        <v>117557.47057907157</v>
      </c>
      <c r="N21" s="28">
        <f>M21/CALC!$A$8*CALC!$A$6</f>
        <v>2296.0121314949442</v>
      </c>
      <c r="O21" s="28">
        <f>+M21+N21</f>
        <v>119853.48271056652</v>
      </c>
      <c r="P21" s="37">
        <v>7</v>
      </c>
      <c r="Q21" s="38"/>
    </row>
    <row r="22" spans="1:17" x14ac:dyDescent="0.2">
      <c r="A22" s="482" t="str">
        <f>+'1-10'!C56</f>
        <v>TOYOTA DYNA 150 [103]</v>
      </c>
      <c r="B22" s="508" t="str">
        <f>+'1-10'!R56</f>
        <v>CML 497 L</v>
      </c>
      <c r="C22" s="483">
        <v>655</v>
      </c>
      <c r="D22" s="6">
        <f>+'1-10'!K85</f>
        <v>10000</v>
      </c>
      <c r="E22" s="514">
        <f>+D22/P22*(CALC!$A$4)</f>
        <v>33571.428571428572</v>
      </c>
      <c r="F22" s="28">
        <v>23400</v>
      </c>
      <c r="G22" s="28">
        <f>CALC!$A$23*(CEM!I22/CEM!I$148)</f>
        <v>3243.1011093349689</v>
      </c>
      <c r="H22" s="28">
        <f>40000*(1+CALC!B$14)</f>
        <v>43200</v>
      </c>
      <c r="I22" s="28">
        <v>21980.73</v>
      </c>
      <c r="J22" s="28"/>
      <c r="K22" s="522">
        <f>1110*(1+CALC!B$13)</f>
        <v>1243.2</v>
      </c>
      <c r="L22" s="28"/>
      <c r="M22" s="28">
        <f>SUM(E22:L22)</f>
        <v>126638.45968076354</v>
      </c>
      <c r="N22" s="28">
        <f>M22/CALC!$A$8*CALC!$A$6</f>
        <v>2473.372711309682</v>
      </c>
      <c r="O22" s="28">
        <f>+M22+N22</f>
        <v>129111.83239207322</v>
      </c>
      <c r="P22" s="37">
        <v>7</v>
      </c>
      <c r="Q22" s="38"/>
    </row>
    <row r="23" spans="1:17" s="7" customFormat="1" x14ac:dyDescent="0.2">
      <c r="B23" s="3" t="s">
        <v>14</v>
      </c>
      <c r="C23" s="18"/>
      <c r="D23" s="12">
        <f>+D20+D21+D22</f>
        <v>40000</v>
      </c>
      <c r="E23" s="10">
        <f>+E20+E21+E22</f>
        <v>134285.71428571429</v>
      </c>
      <c r="F23" s="10">
        <f t="shared" ref="F23:O23" si="2">+F20+F21+F22</f>
        <v>70200</v>
      </c>
      <c r="G23" s="10">
        <f t="shared" si="2"/>
        <v>7394.1651246209858</v>
      </c>
      <c r="H23" s="10">
        <f t="shared" si="2"/>
        <v>129600</v>
      </c>
      <c r="I23" s="10">
        <f t="shared" si="2"/>
        <v>50115.35</v>
      </c>
      <c r="J23" s="10">
        <f t="shared" si="2"/>
        <v>0</v>
      </c>
      <c r="K23" s="10">
        <f t="shared" si="2"/>
        <v>3729.6000000000004</v>
      </c>
      <c r="L23" s="24">
        <f t="shared" si="2"/>
        <v>0</v>
      </c>
      <c r="M23" s="10">
        <f t="shared" si="2"/>
        <v>395324.82941033528</v>
      </c>
      <c r="N23" s="10">
        <f t="shared" si="2"/>
        <v>7721.0797385843816</v>
      </c>
      <c r="O23" s="10">
        <f t="shared" si="2"/>
        <v>403045.90914891963</v>
      </c>
      <c r="P23" s="25"/>
      <c r="Q23" s="110">
        <f>(+O23/D23)*(1+CALC!$A$3)</f>
        <v>10.07614772872299</v>
      </c>
    </row>
    <row r="24" spans="1:17" ht="10.8" thickBot="1" x14ac:dyDescent="0.25">
      <c r="Q24" s="16"/>
    </row>
    <row r="25" spans="1:17" ht="10.8" thickBot="1" x14ac:dyDescent="0.25">
      <c r="A25" s="283" t="s">
        <v>10</v>
      </c>
      <c r="B25" s="284" t="s">
        <v>443</v>
      </c>
      <c r="D25" s="556" t="s">
        <v>636</v>
      </c>
      <c r="E25" s="557"/>
      <c r="F25" s="558"/>
      <c r="Q25" s="16"/>
    </row>
    <row r="26" spans="1:17" x14ac:dyDescent="0.2">
      <c r="Q26" s="16"/>
    </row>
    <row r="27" spans="1:17" x14ac:dyDescent="0.2">
      <c r="A27" s="497" t="str">
        <f>+'1-10'!C62</f>
        <v>NISSAN   UD 40A M02 [063]</v>
      </c>
      <c r="B27" s="508" t="str">
        <f>+'1-10'!R62</f>
        <v>CMJ 507 L</v>
      </c>
      <c r="C27" s="483">
        <v>661</v>
      </c>
      <c r="D27" s="6">
        <v>13000</v>
      </c>
      <c r="E27" s="514">
        <f>+D27/P27*(CALC!$A$4)</f>
        <v>152750</v>
      </c>
      <c r="F27" s="28">
        <v>23400</v>
      </c>
      <c r="G27" s="28">
        <f>CALC!$A$23*(CEM!I27/CEM!I$148)</f>
        <v>4326.3317265399237</v>
      </c>
      <c r="H27" s="28">
        <f>40000*(1+CALC!B$14)</f>
        <v>43200</v>
      </c>
      <c r="I27" s="28">
        <v>29322.53</v>
      </c>
      <c r="J27" s="28"/>
      <c r="K27" s="522">
        <f>1932*(1+CALC!B$13)</f>
        <v>2163.84</v>
      </c>
      <c r="L27" s="28"/>
      <c r="M27" s="28">
        <f>SUM(E27:L27)</f>
        <v>255162.70172653993</v>
      </c>
      <c r="N27" s="28">
        <f>M27/CALC!$A$8*CALC!$A$6</f>
        <v>4983.5765926513568</v>
      </c>
      <c r="O27" s="28">
        <f>+M27+N27</f>
        <v>260146.2783191913</v>
      </c>
      <c r="P27" s="37">
        <v>2</v>
      </c>
      <c r="Q27" s="38"/>
    </row>
    <row r="28" spans="1:17" x14ac:dyDescent="0.2">
      <c r="A28" s="497" t="str">
        <f>+'1-10'!C68</f>
        <v>NISSAN   UD 40A M02 [063]</v>
      </c>
      <c r="B28" s="508" t="str">
        <f>+'1-10'!R68</f>
        <v>CNK 299 L</v>
      </c>
      <c r="C28" s="483">
        <v>667</v>
      </c>
      <c r="D28" s="6">
        <v>8000</v>
      </c>
      <c r="E28" s="514">
        <f>+D28/P28*(CALC!$A$4)</f>
        <v>94000</v>
      </c>
      <c r="F28" s="28">
        <v>23400</v>
      </c>
      <c r="G28" s="28">
        <f>CALC!$A$23*(CEM!I28/CEM!I$148)</f>
        <v>3316.28534899636</v>
      </c>
      <c r="H28" s="28">
        <f>40000*(1+CALC!B$14)</f>
        <v>43200</v>
      </c>
      <c r="I28" s="28">
        <v>22476.75</v>
      </c>
      <c r="J28" s="28"/>
      <c r="K28" s="522">
        <f>1932*(1+CALC!B$13)</f>
        <v>2163.84</v>
      </c>
      <c r="L28" s="28"/>
      <c r="M28" s="28">
        <f>SUM(E28:L28)</f>
        <v>188556.87534899634</v>
      </c>
      <c r="N28" s="28">
        <f>M28/CALC!$A$8*CALC!$A$6</f>
        <v>3682.6997990474688</v>
      </c>
      <c r="O28" s="28">
        <f>+M28+N28</f>
        <v>192239.5751480438</v>
      </c>
      <c r="P28" s="37">
        <v>2</v>
      </c>
      <c r="Q28" s="38"/>
    </row>
    <row r="29" spans="1:17" x14ac:dyDescent="0.2">
      <c r="A29" s="497" t="str">
        <f>+'1-10'!C69</f>
        <v>NISSAN   UD 40A M02 [103]</v>
      </c>
      <c r="B29" s="508" t="str">
        <f>+'1-10'!R69</f>
        <v>CMP 207 L</v>
      </c>
      <c r="C29" s="483">
        <v>668</v>
      </c>
      <c r="D29" s="6">
        <v>8000</v>
      </c>
      <c r="E29" s="514">
        <f>+D29/P29*(CALC!$A$4)</f>
        <v>94000</v>
      </c>
      <c r="F29" s="28">
        <v>23400</v>
      </c>
      <c r="G29" s="28">
        <f>CALC!$A$23*(CEM!I29/CEM!I$148)</f>
        <v>4326.3317265399237</v>
      </c>
      <c r="H29" s="28">
        <f>40000*(1+CALC!B$14)</f>
        <v>43200</v>
      </c>
      <c r="I29" s="28">
        <v>29322.53</v>
      </c>
      <c r="J29" s="28"/>
      <c r="K29" s="522">
        <f>1932*(1+CALC!B$13)</f>
        <v>2163.84</v>
      </c>
      <c r="L29" s="28"/>
      <c r="M29" s="28">
        <f>SUM(E29:L29)</f>
        <v>196412.70172653993</v>
      </c>
      <c r="N29" s="28">
        <f>M29/CALC!$A$8*CALC!$A$6</f>
        <v>3836.1317551529378</v>
      </c>
      <c r="O29" s="28">
        <f>+M29+N29</f>
        <v>200248.83348169288</v>
      </c>
      <c r="P29" s="37">
        <v>2</v>
      </c>
      <c r="Q29" s="38"/>
    </row>
    <row r="30" spans="1:17" x14ac:dyDescent="0.2">
      <c r="A30" s="497" t="str">
        <f>+'1-10'!C70</f>
        <v>NISSAN   UD 40A M02 [063]</v>
      </c>
      <c r="B30" s="508" t="str">
        <f>+'1-10'!R70</f>
        <v>CMS 105 L</v>
      </c>
      <c r="C30" s="483">
        <v>669</v>
      </c>
      <c r="D30" s="6">
        <v>12000</v>
      </c>
      <c r="E30" s="514">
        <f>+D30/P30*(CALC!$A$4)</f>
        <v>141000</v>
      </c>
      <c r="F30" s="28">
        <v>23400</v>
      </c>
      <c r="G30" s="28">
        <f>CALC!$A$23*(CEM!I30/CEM!I$148)</f>
        <v>4388.4679522788019</v>
      </c>
      <c r="H30" s="28">
        <f>40000*(1+CALC!B$14)</f>
        <v>43200</v>
      </c>
      <c r="I30" s="28">
        <v>29743.67</v>
      </c>
      <c r="J30" s="28"/>
      <c r="K30" s="522">
        <f>1932*(1+CALC!B$13)</f>
        <v>2163.84</v>
      </c>
      <c r="L30" s="28"/>
      <c r="M30" s="28">
        <f>SUM(E30:L30)</f>
        <v>243895.97795227877</v>
      </c>
      <c r="N30" s="28">
        <f>M30/CALC!$A$8*CALC!$A$6</f>
        <v>4763.5264814973707</v>
      </c>
      <c r="O30" s="28">
        <f>+M30+N30</f>
        <v>248659.50443377614</v>
      </c>
      <c r="P30" s="37">
        <v>2</v>
      </c>
      <c r="Q30" s="38"/>
    </row>
    <row r="31" spans="1:17" s="7" customFormat="1" x14ac:dyDescent="0.2">
      <c r="B31" s="3" t="s">
        <v>14</v>
      </c>
      <c r="C31" s="18"/>
      <c r="D31" s="12">
        <f>+D27+D28+D29+D30</f>
        <v>41000</v>
      </c>
      <c r="E31" s="10">
        <f>+E27+E28+E29+E30</f>
        <v>481750</v>
      </c>
      <c r="F31" s="10">
        <f t="shared" ref="F31:O31" si="3">+F27+F28+F29+F30</f>
        <v>93600</v>
      </c>
      <c r="G31" s="10">
        <f t="shared" si="3"/>
        <v>16357.41675435501</v>
      </c>
      <c r="H31" s="10">
        <f t="shared" si="3"/>
        <v>172800</v>
      </c>
      <c r="I31" s="10">
        <f t="shared" si="3"/>
        <v>110865.48</v>
      </c>
      <c r="J31" s="10">
        <f t="shared" si="3"/>
        <v>0</v>
      </c>
      <c r="K31" s="10">
        <f t="shared" si="3"/>
        <v>8655.36</v>
      </c>
      <c r="L31" s="10">
        <f t="shared" si="3"/>
        <v>0</v>
      </c>
      <c r="M31" s="10">
        <f t="shared" si="3"/>
        <v>884028.25675435492</v>
      </c>
      <c r="N31" s="10">
        <f t="shared" si="3"/>
        <v>17265.934628349132</v>
      </c>
      <c r="O31" s="10">
        <f t="shared" si="3"/>
        <v>901294.19138270419</v>
      </c>
      <c r="P31" s="25"/>
      <c r="Q31" s="110">
        <f>(+O31/D31)*(1+CALC!$A$3)</f>
        <v>21.98278515567571</v>
      </c>
    </row>
    <row r="32" spans="1:17" ht="10.8" thickBot="1" x14ac:dyDescent="0.25">
      <c r="Q32" s="16"/>
    </row>
    <row r="33" spans="1:17" ht="10.8" thickBot="1" x14ac:dyDescent="0.25">
      <c r="A33" s="283" t="s">
        <v>10</v>
      </c>
      <c r="B33" s="284" t="s">
        <v>444</v>
      </c>
      <c r="D33" s="556" t="s">
        <v>630</v>
      </c>
      <c r="E33" s="557"/>
      <c r="F33" s="558"/>
      <c r="Q33" s="16"/>
    </row>
    <row r="34" spans="1:17" x14ac:dyDescent="0.2">
      <c r="Q34" s="16"/>
    </row>
    <row r="35" spans="1:17" x14ac:dyDescent="0.2">
      <c r="A35" s="487" t="str">
        <f>+'1-10'!C86</f>
        <v>NISSAN  UD 80 WATER TANKER [063]</v>
      </c>
      <c r="B35" s="508" t="str">
        <f>+'1-10'!R86</f>
        <v>CNK 296 L</v>
      </c>
      <c r="C35" s="498">
        <v>685</v>
      </c>
      <c r="D35" s="6">
        <v>12000</v>
      </c>
      <c r="E35" s="514">
        <f>+D35/P35*(CALC!$A$4)</f>
        <v>188000</v>
      </c>
      <c r="F35" s="28">
        <v>23400</v>
      </c>
      <c r="G35" s="28">
        <f>CALC!$A$23*(CEM!I35/CEM!I$148)</f>
        <v>7620.534326554146</v>
      </c>
      <c r="H35" s="28">
        <f>95000*(1+CALC!B$14)</f>
        <v>102600</v>
      </c>
      <c r="I35" s="28">
        <v>51649.61</v>
      </c>
      <c r="J35" s="28"/>
      <c r="K35" s="522">
        <f>8358*(1+CALC!B$13)</f>
        <v>9360.9600000000009</v>
      </c>
      <c r="L35" s="28"/>
      <c r="M35" s="28">
        <f>SUM(E35:L35)</f>
        <v>382631.10432655417</v>
      </c>
      <c r="N35" s="24">
        <f>M35/CALC!$A$8*CALC!$A$6</f>
        <v>7473.1588991629542</v>
      </c>
      <c r="O35" s="28">
        <f>+M35+N35</f>
        <v>390104.26322571712</v>
      </c>
      <c r="P35" s="37">
        <v>1.5</v>
      </c>
      <c r="Q35" s="38"/>
    </row>
    <row r="36" spans="1:17" s="7" customFormat="1" x14ac:dyDescent="0.2">
      <c r="B36" s="3" t="s">
        <v>14</v>
      </c>
      <c r="C36" s="18"/>
      <c r="D36" s="12">
        <f t="shared" ref="D36:I36" si="4">SUM(D35:D35)</f>
        <v>12000</v>
      </c>
      <c r="E36" s="10">
        <f t="shared" si="4"/>
        <v>188000</v>
      </c>
      <c r="F36" s="10">
        <f t="shared" si="4"/>
        <v>23400</v>
      </c>
      <c r="G36" s="28">
        <f>6057.27*(1+CALC!$A$2)</f>
        <v>4694.3842500000001</v>
      </c>
      <c r="H36" s="28">
        <f>20000*(1+CALC!$A$2)</f>
        <v>15500</v>
      </c>
      <c r="I36" s="10">
        <f t="shared" si="4"/>
        <v>51649.61</v>
      </c>
      <c r="J36" s="10">
        <f>SUM(J35)</f>
        <v>0</v>
      </c>
      <c r="K36" s="10">
        <f>SUM(K35:K35)</f>
        <v>9360.9600000000009</v>
      </c>
      <c r="L36" s="10">
        <f>+L35</f>
        <v>0</v>
      </c>
      <c r="M36" s="10">
        <f>SUM(M35:M35)</f>
        <v>382631.10432655417</v>
      </c>
      <c r="N36" s="10">
        <f>M36/CALC!$A$8*CALC!$A$6</f>
        <v>7473.1588991629542</v>
      </c>
      <c r="O36" s="10">
        <f>+M36+N36</f>
        <v>390104.26322571712</v>
      </c>
      <c r="P36" s="25"/>
      <c r="Q36" s="110">
        <f>(+O36/D36)*(1+CALC!$A$3)</f>
        <v>32.508688602143096</v>
      </c>
    </row>
    <row r="37" spans="1:17" s="7" customFormat="1" ht="10.8" thickBot="1" x14ac:dyDescent="0.25">
      <c r="C37" s="29"/>
      <c r="D37" s="30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110"/>
    </row>
    <row r="38" spans="1:17" ht="10.8" thickBot="1" x14ac:dyDescent="0.25">
      <c r="A38" s="283" t="s">
        <v>10</v>
      </c>
      <c r="B38" s="284" t="s">
        <v>445</v>
      </c>
      <c r="D38" s="556" t="s">
        <v>637</v>
      </c>
      <c r="E38" s="557"/>
      <c r="F38" s="558"/>
      <c r="Q38" s="16"/>
    </row>
    <row r="39" spans="1:17" x14ac:dyDescent="0.2">
      <c r="Q39" s="16"/>
    </row>
    <row r="40" spans="1:17" x14ac:dyDescent="0.2">
      <c r="A40" s="482" t="str">
        <f>+'1-10'!C84</f>
        <v>NISSAN  UD 80 C H07 [063] CRANE</v>
      </c>
      <c r="B40" s="508" t="str">
        <f>+'1-10'!R84</f>
        <v>CMJ 521 L</v>
      </c>
      <c r="C40" s="483">
        <v>683</v>
      </c>
      <c r="D40" s="6">
        <v>15000</v>
      </c>
      <c r="E40" s="514">
        <f>+D40/P40*(CALC!$A$4)</f>
        <v>235000</v>
      </c>
      <c r="F40" s="28">
        <v>23400</v>
      </c>
      <c r="G40" s="28">
        <f>CALC!$A$23*(CEM!I40/CEM!I$148)</f>
        <v>9096.7469892018489</v>
      </c>
      <c r="H40" s="28">
        <f>95000*(1+CALC!B$14)</f>
        <v>102600</v>
      </c>
      <c r="I40" s="28">
        <v>61654.92</v>
      </c>
      <c r="J40" s="28"/>
      <c r="K40" s="522">
        <f>9492*(1+CALC!B$13)</f>
        <v>10631.04</v>
      </c>
      <c r="L40" s="28"/>
      <c r="M40" s="28">
        <f>SUM(E40:L40)</f>
        <v>442382.70698920183</v>
      </c>
      <c r="N40" s="24">
        <f>M40/CALC!$A$8*CALC!$A$6</f>
        <v>8640.1660141844332</v>
      </c>
      <c r="O40" s="28">
        <f>+M40+N40</f>
        <v>451022.87300338625</v>
      </c>
      <c r="P40" s="37">
        <v>1.5</v>
      </c>
      <c r="Q40" s="38"/>
    </row>
    <row r="41" spans="1:17" s="7" customFormat="1" x14ac:dyDescent="0.2">
      <c r="B41" s="3" t="s">
        <v>14</v>
      </c>
      <c r="C41" s="18"/>
      <c r="D41" s="12">
        <f t="shared" ref="D41:I41" si="5">SUM(D40:D40)</f>
        <v>15000</v>
      </c>
      <c r="E41" s="10">
        <f t="shared" si="5"/>
        <v>235000</v>
      </c>
      <c r="F41" s="10">
        <f t="shared" si="5"/>
        <v>23400</v>
      </c>
      <c r="G41" s="10">
        <f t="shared" si="5"/>
        <v>9096.7469892018489</v>
      </c>
      <c r="H41" s="10">
        <f t="shared" si="5"/>
        <v>102600</v>
      </c>
      <c r="I41" s="10">
        <f t="shared" si="5"/>
        <v>61654.92</v>
      </c>
      <c r="J41" s="10">
        <f>SUM(J40)</f>
        <v>0</v>
      </c>
      <c r="K41" s="10">
        <f t="shared" ref="K41:L41" si="6">SUM(K40)</f>
        <v>10631.04</v>
      </c>
      <c r="L41" s="10">
        <f t="shared" si="6"/>
        <v>0</v>
      </c>
      <c r="M41" s="10">
        <f>SUM(M40:M40)</f>
        <v>442382.70698920183</v>
      </c>
      <c r="N41" s="10">
        <f>M41/CALC!$A$8*CALC!$A$6</f>
        <v>8640.1660141844332</v>
      </c>
      <c r="O41" s="10">
        <f>+M41+N41</f>
        <v>451022.87300338625</v>
      </c>
      <c r="P41" s="25"/>
      <c r="Q41" s="110">
        <f>(+O41/D41)*(1+CALC!$A$3)</f>
        <v>30.068191533559084</v>
      </c>
    </row>
    <row r="42" spans="1:17" ht="10.8" thickBot="1" x14ac:dyDescent="0.25">
      <c r="Q42" s="16"/>
    </row>
    <row r="43" spans="1:17" ht="10.8" thickBot="1" x14ac:dyDescent="0.25">
      <c r="A43" s="283" t="s">
        <v>10</v>
      </c>
      <c r="B43" s="284" t="s">
        <v>446</v>
      </c>
      <c r="D43" s="556" t="s">
        <v>628</v>
      </c>
      <c r="E43" s="557"/>
      <c r="F43" s="558"/>
      <c r="Q43" s="16"/>
    </row>
    <row r="44" spans="1:17" x14ac:dyDescent="0.2">
      <c r="Q44" s="16"/>
    </row>
    <row r="45" spans="1:17" x14ac:dyDescent="0.2">
      <c r="Q45" s="16"/>
    </row>
    <row r="46" spans="1:17" x14ac:dyDescent="0.2">
      <c r="A46" s="496" t="str">
        <f>+'1-10'!C80</f>
        <v>NISSAN  UD 85   TIPPER [063]</v>
      </c>
      <c r="B46" s="508" t="str">
        <f>+'1-10'!R80</f>
        <v>CMS 097 L</v>
      </c>
      <c r="C46" s="483">
        <v>679</v>
      </c>
      <c r="D46" s="6">
        <v>15000</v>
      </c>
      <c r="E46" s="514">
        <f>+D46/P46*(CALC!$A$4)</f>
        <v>235000</v>
      </c>
      <c r="F46" s="28">
        <v>23400</v>
      </c>
      <c r="G46" s="28">
        <f>CALC!$A$23*(CEM!I46/CEM!I$148)</f>
        <v>7604.4964110443007</v>
      </c>
      <c r="H46" s="28">
        <f>95000*(1+CALC!B$14)</f>
        <v>102600</v>
      </c>
      <c r="I46" s="28">
        <v>51540.91</v>
      </c>
      <c r="J46" s="28"/>
      <c r="K46" s="522">
        <f>8358*(1+CALC!B$13)</f>
        <v>9360.9600000000009</v>
      </c>
      <c r="L46" s="28"/>
      <c r="M46" s="28">
        <f>SUM(E46:L46)</f>
        <v>429506.36641104432</v>
      </c>
      <c r="N46" s="24">
        <f>M46/CALC!$A$8*CALC!$A$6</f>
        <v>8388.6785159328883</v>
      </c>
      <c r="O46" s="28">
        <f>+M46+N46</f>
        <v>437895.04492697719</v>
      </c>
      <c r="P46" s="37">
        <v>1.5</v>
      </c>
      <c r="Q46" s="38"/>
    </row>
    <row r="47" spans="1:17" x14ac:dyDescent="0.2">
      <c r="A47" s="496" t="str">
        <f>+'1-10'!C81</f>
        <v>NISSAN  UD 85   TIPPER [063]</v>
      </c>
      <c r="B47" s="508" t="str">
        <f>+'1-10'!R81</f>
        <v>CMS 114 L</v>
      </c>
      <c r="C47" s="483">
        <v>680</v>
      </c>
      <c r="D47" s="6">
        <v>15000</v>
      </c>
      <c r="E47" s="514">
        <f>+D47/P47*(CALC!$A$4)</f>
        <v>235000</v>
      </c>
      <c r="F47" s="28">
        <v>23400</v>
      </c>
      <c r="G47" s="28">
        <f>CALC!$A$23*(CEM!I47/CEM!I$148)</f>
        <v>7818.9780798346064</v>
      </c>
      <c r="H47" s="28">
        <f>95000*(1+CALC!B$14)</f>
        <v>102600</v>
      </c>
      <c r="I47" s="28">
        <v>52994.6</v>
      </c>
      <c r="J47" s="28"/>
      <c r="K47" s="522">
        <f>8358*(1+CALC!B$13)</f>
        <v>9360.9600000000009</v>
      </c>
      <c r="L47" s="28"/>
      <c r="M47" s="28">
        <f>SUM(E47:L47)</f>
        <v>431174.5380798346</v>
      </c>
      <c r="N47" s="24">
        <f>M47/CALC!$A$8*CALC!$A$6</f>
        <v>8421.2595366888818</v>
      </c>
      <c r="O47" s="28">
        <f>+M47+N47</f>
        <v>439595.79761652346</v>
      </c>
      <c r="P47" s="37">
        <v>1.5</v>
      </c>
      <c r="Q47" s="38"/>
    </row>
    <row r="48" spans="1:17" s="7" customFormat="1" x14ac:dyDescent="0.2">
      <c r="B48" s="3" t="s">
        <v>14</v>
      </c>
      <c r="C48" s="18"/>
      <c r="D48" s="12">
        <f>+D46+D47</f>
        <v>30000</v>
      </c>
      <c r="E48" s="10">
        <f>+E46+E47</f>
        <v>470000</v>
      </c>
      <c r="F48" s="10">
        <f t="shared" ref="F48:O48" si="7">+F46+F47</f>
        <v>46800</v>
      </c>
      <c r="G48" s="10">
        <f t="shared" si="7"/>
        <v>15423.474490878907</v>
      </c>
      <c r="H48" s="10">
        <f t="shared" si="7"/>
        <v>205200</v>
      </c>
      <c r="I48" s="10">
        <f t="shared" si="7"/>
        <v>104535.51000000001</v>
      </c>
      <c r="J48" s="10">
        <f t="shared" si="7"/>
        <v>0</v>
      </c>
      <c r="K48" s="10">
        <f t="shared" si="7"/>
        <v>18721.920000000002</v>
      </c>
      <c r="L48" s="10">
        <f t="shared" si="7"/>
        <v>0</v>
      </c>
      <c r="M48" s="10">
        <f t="shared" si="7"/>
        <v>860680.90449087892</v>
      </c>
      <c r="N48" s="10">
        <f t="shared" si="7"/>
        <v>16809.938052621772</v>
      </c>
      <c r="O48" s="10">
        <f t="shared" si="7"/>
        <v>877490.84254350071</v>
      </c>
      <c r="P48" s="10"/>
      <c r="Q48" s="110">
        <f>(+O48/D48)*(1+CALC!$A$3)</f>
        <v>29.249694751450022</v>
      </c>
    </row>
    <row r="49" spans="1:19" s="7" customFormat="1" x14ac:dyDescent="0.2">
      <c r="C49" s="29"/>
      <c r="D49" s="30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27"/>
    </row>
    <row r="50" spans="1:19" s="7" customFormat="1" ht="10.8" thickBot="1" x14ac:dyDescent="0.25">
      <c r="C50" s="29"/>
      <c r="D50" s="30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27"/>
    </row>
    <row r="51" spans="1:19" ht="10.8" thickBot="1" x14ac:dyDescent="0.25">
      <c r="A51" s="283" t="s">
        <v>10</v>
      </c>
      <c r="B51" s="284" t="s">
        <v>194</v>
      </c>
      <c r="D51" s="556" t="s">
        <v>190</v>
      </c>
      <c r="E51" s="557"/>
      <c r="F51" s="558"/>
      <c r="Q51" s="16"/>
    </row>
    <row r="52" spans="1:19" x14ac:dyDescent="0.2">
      <c r="Q52" s="16"/>
    </row>
    <row r="53" spans="1:19" x14ac:dyDescent="0.2">
      <c r="A53" s="482" t="s">
        <v>190</v>
      </c>
      <c r="B53" s="508" t="s">
        <v>191</v>
      </c>
      <c r="C53" s="483">
        <v>420</v>
      </c>
      <c r="D53" s="6">
        <v>1100</v>
      </c>
      <c r="E53" s="514">
        <f>+D53/P53*(CALC!$A$4)</f>
        <v>369285.7142857142</v>
      </c>
      <c r="F53" s="28">
        <v>23400</v>
      </c>
      <c r="G53" s="28">
        <f>CALC!$A$23*(CEM!I53/CEM!I$148)</f>
        <v>39699.157964880491</v>
      </c>
      <c r="H53" s="28">
        <f>250000*(1+CALC!B$14)</f>
        <v>270000</v>
      </c>
      <c r="I53" s="480">
        <f>0.75*358758.05</f>
        <v>269068.53749999998</v>
      </c>
      <c r="J53" s="28">
        <v>0</v>
      </c>
      <c r="K53" s="522">
        <f>168*(1+CALC!B$13)</f>
        <v>188.16000000000003</v>
      </c>
      <c r="L53" s="28"/>
      <c r="M53" s="28">
        <f>SUM(E53:L53)</f>
        <v>971641.56975059467</v>
      </c>
      <c r="N53" s="24">
        <f>M53/CALC!$A$8*CALC!$A$6</f>
        <v>18977.108138028594</v>
      </c>
      <c r="O53" s="28">
        <f>+M53+N53</f>
        <v>990618.67788862332</v>
      </c>
      <c r="P53" s="37">
        <v>7.0000000000000007E-2</v>
      </c>
      <c r="Q53" s="38"/>
    </row>
    <row r="54" spans="1:19" x14ac:dyDescent="0.2">
      <c r="A54" s="482" t="s">
        <v>190</v>
      </c>
      <c r="B54" s="508" t="s">
        <v>192</v>
      </c>
      <c r="C54" s="483">
        <v>421</v>
      </c>
      <c r="D54" s="6">
        <v>1100</v>
      </c>
      <c r="E54" s="514">
        <f>+D54/P54*(CALC!$A$4)</f>
        <v>369285.7142857142</v>
      </c>
      <c r="F54" s="28">
        <v>23400</v>
      </c>
      <c r="G54" s="28">
        <f>CALC!$A$23*(CEM!I54/CEM!I$148)</f>
        <v>39699.157964880491</v>
      </c>
      <c r="H54" s="28">
        <f>250000*(1+CALC!B$14)</f>
        <v>270000</v>
      </c>
      <c r="I54" s="480">
        <f>0.75*358758.05</f>
        <v>269068.53749999998</v>
      </c>
      <c r="J54" s="28">
        <v>0</v>
      </c>
      <c r="K54" s="522">
        <f>168*(1+CALC!B$13)</f>
        <v>188.16000000000003</v>
      </c>
      <c r="L54" s="28"/>
      <c r="M54" s="28">
        <f>SUM(E54:L54)</f>
        <v>971641.56975059467</v>
      </c>
      <c r="N54" s="24">
        <f>M54/CALC!$A$8*CALC!$A$6</f>
        <v>18977.108138028594</v>
      </c>
      <c r="O54" s="28">
        <f>+M54+N54</f>
        <v>990618.67788862332</v>
      </c>
      <c r="P54" s="37">
        <v>7.0000000000000007E-2</v>
      </c>
      <c r="Q54" s="38"/>
    </row>
    <row r="55" spans="1:19" ht="13.2" x14ac:dyDescent="0.25">
      <c r="A55" s="519" t="s">
        <v>1560</v>
      </c>
      <c r="B55" s="532" t="s">
        <v>1558</v>
      </c>
      <c r="C55" s="483"/>
      <c r="D55" s="6">
        <v>1100</v>
      </c>
      <c r="E55" s="514">
        <v>300000</v>
      </c>
      <c r="F55" s="28">
        <v>23400</v>
      </c>
      <c r="G55" s="28">
        <v>30000</v>
      </c>
      <c r="H55" s="28">
        <f>250000*(1+CALC!B$14)</f>
        <v>270000</v>
      </c>
      <c r="I55" s="480"/>
      <c r="J55" s="28"/>
      <c r="K55" s="522">
        <f>300*(1+CALC!B$13)</f>
        <v>336.00000000000006</v>
      </c>
      <c r="L55" s="28"/>
      <c r="M55" s="28"/>
      <c r="N55" s="24"/>
      <c r="O55" s="28"/>
      <c r="P55" s="37"/>
      <c r="Q55" s="38"/>
    </row>
    <row r="56" spans="1:19" ht="13.2" x14ac:dyDescent="0.25">
      <c r="A56" s="519" t="s">
        <v>1560</v>
      </c>
      <c r="B56" s="532" t="s">
        <v>1559</v>
      </c>
      <c r="C56" s="483"/>
      <c r="D56" s="6">
        <v>1100</v>
      </c>
      <c r="E56" s="514">
        <v>300000</v>
      </c>
      <c r="F56" s="28">
        <v>23400</v>
      </c>
      <c r="G56" s="28">
        <v>30000</v>
      </c>
      <c r="H56" s="28">
        <f>250000*(1+CALC!B$14)</f>
        <v>270000</v>
      </c>
      <c r="I56" s="480"/>
      <c r="J56" s="28"/>
      <c r="K56" s="522">
        <f>300*(1+CALC!B$13)</f>
        <v>336.00000000000006</v>
      </c>
      <c r="L56" s="28"/>
      <c r="M56" s="28"/>
      <c r="N56" s="24"/>
      <c r="O56" s="28"/>
      <c r="P56" s="37"/>
      <c r="Q56" s="38"/>
    </row>
    <row r="57" spans="1:19" x14ac:dyDescent="0.2">
      <c r="A57" s="519" t="s">
        <v>1465</v>
      </c>
      <c r="B57" s="508" t="s">
        <v>1477</v>
      </c>
      <c r="C57" s="483"/>
      <c r="D57" s="6">
        <v>1100</v>
      </c>
      <c r="E57" s="514">
        <f>+D57/P57*(CALC!$A$4)</f>
        <v>369285.7142857142</v>
      </c>
      <c r="F57" s="28">
        <v>23400</v>
      </c>
      <c r="G57" s="28">
        <f>CALC!$A$23*(CEM!I57/CEM!I$148)</f>
        <v>39699.157964880491</v>
      </c>
      <c r="H57" s="28">
        <f>265994*(1+CALC!B$14)</f>
        <v>287273.52</v>
      </c>
      <c r="I57" s="480">
        <f>0.75*358758.05</f>
        <v>269068.53749999998</v>
      </c>
      <c r="J57" s="28">
        <v>0</v>
      </c>
      <c r="K57" s="522">
        <f>168*(1+CALC!B$13)</f>
        <v>188.16000000000003</v>
      </c>
      <c r="L57" s="28"/>
      <c r="M57" s="28">
        <f>SUM(E57:L57)</f>
        <v>988915.08975059469</v>
      </c>
      <c r="N57" s="24">
        <f>M57/CALC!$A$8*CALC!$A$6</f>
        <v>19314.476841848606</v>
      </c>
      <c r="O57" s="28">
        <f>+M57+N57</f>
        <v>1008229.5665924433</v>
      </c>
      <c r="P57" s="28">
        <v>7.0000000000000007E-2</v>
      </c>
      <c r="Q57" s="28">
        <f>SUM(I57:P57)</f>
        <v>2285715.9006848861</v>
      </c>
      <c r="R57" s="24">
        <f>Q57/CALC!$A$8*CALC!$A$6</f>
        <v>44642.262301768882</v>
      </c>
      <c r="S57" s="28">
        <f>+Q57+R57</f>
        <v>2330358.1629866553</v>
      </c>
    </row>
    <row r="58" spans="1:19" s="7" customFormat="1" x14ac:dyDescent="0.2">
      <c r="B58" s="3" t="s">
        <v>14</v>
      </c>
      <c r="C58" s="18"/>
      <c r="D58" s="12">
        <f>SUM(D53:D54)</f>
        <v>2200</v>
      </c>
      <c r="E58" s="10">
        <f t="shared" ref="E58:O58" si="8">SUM(E53:E57)</f>
        <v>1707857.1428571427</v>
      </c>
      <c r="F58" s="10">
        <f t="shared" si="8"/>
        <v>117000</v>
      </c>
      <c r="G58" s="10">
        <f t="shared" si="8"/>
        <v>179097.47389464147</v>
      </c>
      <c r="H58" s="10">
        <f t="shared" si="8"/>
        <v>1367273.52</v>
      </c>
      <c r="I58" s="10">
        <f t="shared" si="8"/>
        <v>807205.61249999993</v>
      </c>
      <c r="J58" s="10">
        <f t="shared" si="8"/>
        <v>0</v>
      </c>
      <c r="K58" s="10">
        <f t="shared" si="8"/>
        <v>1236.4800000000002</v>
      </c>
      <c r="L58" s="10">
        <f t="shared" si="8"/>
        <v>0</v>
      </c>
      <c r="M58" s="10">
        <f t="shared" si="8"/>
        <v>2932198.2292517843</v>
      </c>
      <c r="N58" s="10">
        <f t="shared" si="8"/>
        <v>57268.693117905794</v>
      </c>
      <c r="O58" s="10">
        <f t="shared" si="8"/>
        <v>2989466.9223696897</v>
      </c>
      <c r="P58" s="25"/>
      <c r="Q58" s="110">
        <f>(+O58/D58)*(1+CALC!$A$3)</f>
        <v>1358.8486010771317</v>
      </c>
    </row>
    <row r="59" spans="1:19" ht="10.8" thickBot="1" x14ac:dyDescent="0.25">
      <c r="Q59" s="16"/>
    </row>
    <row r="60" spans="1:19" ht="10.8" thickBot="1" x14ac:dyDescent="0.25">
      <c r="A60" s="283" t="s">
        <v>10</v>
      </c>
      <c r="B60" s="284" t="s">
        <v>447</v>
      </c>
      <c r="D60" s="556" t="s">
        <v>401</v>
      </c>
      <c r="E60" s="557"/>
      <c r="F60" s="558"/>
      <c r="P60" s="49"/>
      <c r="Q60" s="38"/>
    </row>
    <row r="61" spans="1:19" x14ac:dyDescent="0.2">
      <c r="P61" s="49"/>
      <c r="Q61" s="38"/>
    </row>
    <row r="62" spans="1:19" x14ac:dyDescent="0.2">
      <c r="A62" s="487" t="str">
        <f>+'1-10'!C90</f>
        <v>TLB BELL 315 SJ 4X4 [063]</v>
      </c>
      <c r="B62" s="508" t="str">
        <f>+'1-10'!R90</f>
        <v>CMF 761 L</v>
      </c>
      <c r="C62" s="483">
        <v>689</v>
      </c>
      <c r="D62" s="6">
        <v>400</v>
      </c>
      <c r="E62" s="514">
        <f>+D62/P62*(CALC!$A$4)</f>
        <v>62666.666666666672</v>
      </c>
      <c r="F62" s="28">
        <v>23400</v>
      </c>
      <c r="G62" s="28">
        <v>10000</v>
      </c>
      <c r="H62" s="28">
        <f>120000*(1+CALC!B$14)</f>
        <v>129600.00000000001</v>
      </c>
      <c r="I62" s="28">
        <v>0</v>
      </c>
      <c r="J62" s="28"/>
      <c r="K62" s="522">
        <f>168*(1+CALC!B$13)</f>
        <v>188.16000000000003</v>
      </c>
      <c r="L62" s="28"/>
      <c r="M62" s="28">
        <f>SUM(E62:L62)</f>
        <v>225854.82666666669</v>
      </c>
      <c r="N62" s="24">
        <f>M62/CALC!$A$8*CALC!$A$6</f>
        <v>4411.1651894939059</v>
      </c>
      <c r="O62" s="28">
        <f>+M62+N62</f>
        <v>230265.9918561606</v>
      </c>
      <c r="P62" s="37">
        <v>0.15</v>
      </c>
      <c r="Q62" s="38"/>
    </row>
    <row r="63" spans="1:19" x14ac:dyDescent="0.2">
      <c r="A63" s="487" t="str">
        <f>+'1-10'!C91</f>
        <v>TLB BELL 315 SJ 4X4 [063]</v>
      </c>
      <c r="B63" s="508" t="str">
        <f>+'1-10'!R91</f>
        <v>CMF 759 L</v>
      </c>
      <c r="C63" s="483">
        <v>690</v>
      </c>
      <c r="D63" s="6">
        <v>400</v>
      </c>
      <c r="E63" s="514">
        <f>+D63/P63*(CALC!$A$4)</f>
        <v>62666.666666666672</v>
      </c>
      <c r="F63" s="28">
        <v>23400</v>
      </c>
      <c r="G63" s="28">
        <v>10000</v>
      </c>
      <c r="H63" s="28">
        <f>120000*(1+CALC!B$14)</f>
        <v>129600.00000000001</v>
      </c>
      <c r="I63" s="28">
        <v>64108.41</v>
      </c>
      <c r="J63" s="28"/>
      <c r="K63" s="522">
        <f>168*(1+CALC!B$13)</f>
        <v>188.16000000000003</v>
      </c>
      <c r="L63" s="28"/>
      <c r="M63" s="28">
        <f>SUM(E63:L63)</f>
        <v>289963.23666666663</v>
      </c>
      <c r="N63" s="24">
        <f>M63/CALC!$A$8*CALC!$A$6</f>
        <v>5663.2650038723223</v>
      </c>
      <c r="O63" s="28">
        <f>+M63+N63</f>
        <v>295626.50167053897</v>
      </c>
      <c r="P63" s="37">
        <v>0.15</v>
      </c>
      <c r="Q63" s="38"/>
    </row>
    <row r="64" spans="1:19" s="7" customFormat="1" x14ac:dyDescent="0.2">
      <c r="B64" s="3" t="s">
        <v>14</v>
      </c>
      <c r="C64" s="18"/>
      <c r="D64" s="12">
        <f>SUM(D62:D63)</f>
        <v>800</v>
      </c>
      <c r="E64" s="24">
        <f t="shared" ref="E64:O64" si="9">SUM(E62:E63)</f>
        <v>125333.33333333334</v>
      </c>
      <c r="F64" s="24">
        <f t="shared" si="9"/>
        <v>46800</v>
      </c>
      <c r="G64" s="24">
        <f t="shared" si="9"/>
        <v>20000</v>
      </c>
      <c r="H64" s="24">
        <f t="shared" si="9"/>
        <v>259200.00000000003</v>
      </c>
      <c r="I64" s="24">
        <f t="shared" si="9"/>
        <v>64108.41</v>
      </c>
      <c r="J64" s="24">
        <f t="shared" si="9"/>
        <v>0</v>
      </c>
      <c r="K64" s="24">
        <f t="shared" si="9"/>
        <v>376.32000000000005</v>
      </c>
      <c r="L64" s="10">
        <f t="shared" ref="L64" si="10">+L62+L63</f>
        <v>0</v>
      </c>
      <c r="M64" s="24">
        <f t="shared" si="9"/>
        <v>515818.06333333335</v>
      </c>
      <c r="N64" s="24">
        <f t="shared" si="9"/>
        <v>10074.430193366228</v>
      </c>
      <c r="O64" s="24">
        <f t="shared" si="9"/>
        <v>525892.4935266996</v>
      </c>
      <c r="P64" s="39"/>
      <c r="Q64" s="40">
        <f>(+O64/D64)*(1+CALC!$A$3)</f>
        <v>657.36561690837448</v>
      </c>
    </row>
    <row r="65" spans="1:17" ht="10.8" thickBot="1" x14ac:dyDescent="0.25">
      <c r="P65" s="49"/>
      <c r="Q65" s="38"/>
    </row>
    <row r="66" spans="1:17" ht="10.8" thickBot="1" x14ac:dyDescent="0.25">
      <c r="A66" s="283" t="s">
        <v>10</v>
      </c>
      <c r="B66" s="284" t="s">
        <v>448</v>
      </c>
      <c r="D66" s="556" t="s">
        <v>402</v>
      </c>
      <c r="E66" s="557"/>
      <c r="F66" s="558"/>
      <c r="P66" s="49"/>
      <c r="Q66" s="38"/>
    </row>
    <row r="67" spans="1:17" x14ac:dyDescent="0.2">
      <c r="P67" s="49"/>
      <c r="Q67" s="38"/>
    </row>
    <row r="68" spans="1:17" x14ac:dyDescent="0.2">
      <c r="A68" s="487" t="str">
        <f>+'1-10'!C92</f>
        <v>ROLLER VOLVO SD100DC [063]</v>
      </c>
      <c r="B68" s="482" t="str">
        <f>+'1-10'!R92</f>
        <v>58024</v>
      </c>
      <c r="C68" s="14">
        <v>691</v>
      </c>
      <c r="D68" s="6">
        <v>400</v>
      </c>
      <c r="E68" s="47">
        <f>+D68/P68*(CALC!$A$4)</f>
        <v>62666.666666666672</v>
      </c>
      <c r="F68" s="28">
        <v>23400</v>
      </c>
      <c r="G68" s="28">
        <f>CALC!$A$23*(CEM!I68/CEM!I$148)</f>
        <v>24990.184044541551</v>
      </c>
      <c r="H68" s="28">
        <f>30000*(1+CALC!B$14)</f>
        <v>32400.000000000004</v>
      </c>
      <c r="I68" s="480">
        <v>169375.69</v>
      </c>
      <c r="J68" s="28"/>
      <c r="K68" s="73">
        <f>168*(1+CALC!B$13)</f>
        <v>188.16000000000003</v>
      </c>
      <c r="L68" s="28"/>
      <c r="M68" s="28">
        <f>SUM(E68:L68)</f>
        <v>313020.70071120822</v>
      </c>
      <c r="N68" s="24">
        <f>M68/CALC!$A$8*CALC!$A$6</f>
        <v>6113.5997797653381</v>
      </c>
      <c r="O68" s="28">
        <f>+M68+N68</f>
        <v>319134.30049097358</v>
      </c>
      <c r="P68" s="37">
        <v>0.15</v>
      </c>
      <c r="Q68" s="38"/>
    </row>
    <row r="69" spans="1:17" x14ac:dyDescent="0.2">
      <c r="A69" s="487" t="str">
        <f>+'1-10'!C93</f>
        <v>ROLLER VOLVO SD100DC [063]</v>
      </c>
      <c r="B69" s="482" t="str">
        <f>+'1-10'!R93</f>
        <v>58026</v>
      </c>
      <c r="C69" s="14">
        <v>692</v>
      </c>
      <c r="D69" s="6">
        <v>400</v>
      </c>
      <c r="E69" s="47">
        <f>+D69/P69*(CALC!$A$4)</f>
        <v>62666.666666666672</v>
      </c>
      <c r="F69" s="28">
        <v>23400</v>
      </c>
      <c r="G69" s="28">
        <f>CALC!$A$23*(CEM!I69/CEM!I$148)</f>
        <v>24990.184044541551</v>
      </c>
      <c r="H69" s="28">
        <f>30000*(1+CALC!B$14)</f>
        <v>32400.000000000004</v>
      </c>
      <c r="I69" s="480">
        <v>169375.69</v>
      </c>
      <c r="J69" s="28"/>
      <c r="K69" s="73">
        <f>168*(1+CALC!B$13)</f>
        <v>188.16000000000003</v>
      </c>
      <c r="L69" s="28"/>
      <c r="M69" s="28">
        <f>SUM(E69:L69)</f>
        <v>313020.70071120822</v>
      </c>
      <c r="N69" s="24">
        <f>M69/CALC!$A$8*CALC!$A$6</f>
        <v>6113.5997797653381</v>
      </c>
      <c r="O69" s="28">
        <f>+M69+N69</f>
        <v>319134.30049097358</v>
      </c>
      <c r="P69" s="37">
        <v>0.15</v>
      </c>
      <c r="Q69" s="38"/>
    </row>
    <row r="70" spans="1:17" s="7" customFormat="1" x14ac:dyDescent="0.2">
      <c r="B70" s="3" t="s">
        <v>14</v>
      </c>
      <c r="C70" s="18"/>
      <c r="D70" s="12">
        <f t="shared" ref="D70:K70" si="11">SUM(D68:D69)</f>
        <v>800</v>
      </c>
      <c r="E70" s="24">
        <f t="shared" si="11"/>
        <v>125333.33333333334</v>
      </c>
      <c r="F70" s="24">
        <f t="shared" si="11"/>
        <v>46800</v>
      </c>
      <c r="G70" s="24">
        <f t="shared" si="11"/>
        <v>49980.368089083102</v>
      </c>
      <c r="H70" s="24">
        <f t="shared" si="11"/>
        <v>64800.000000000007</v>
      </c>
      <c r="I70" s="24">
        <f t="shared" si="11"/>
        <v>338751.38</v>
      </c>
      <c r="J70" s="24">
        <f t="shared" si="11"/>
        <v>0</v>
      </c>
      <c r="K70" s="24">
        <f t="shared" si="11"/>
        <v>376.32000000000005</v>
      </c>
      <c r="L70" s="10">
        <f>+L68+L69</f>
        <v>0</v>
      </c>
      <c r="M70" s="24">
        <f>SUM(M68:M69)</f>
        <v>626041.40142241644</v>
      </c>
      <c r="N70" s="24">
        <f>M70/CALC!$A$8*CALC!$A$6</f>
        <v>12227.199559530676</v>
      </c>
      <c r="O70" s="24">
        <f>+M70+N70</f>
        <v>638268.60098194715</v>
      </c>
      <c r="P70" s="39"/>
      <c r="Q70" s="40">
        <f>(+O70/D70)*(1+CALC!$A$3)</f>
        <v>797.83575122743389</v>
      </c>
    </row>
    <row r="71" spans="1:17" ht="10.8" thickBot="1" x14ac:dyDescent="0.25">
      <c r="P71" s="49"/>
      <c r="Q71" s="38"/>
    </row>
    <row r="72" spans="1:17" ht="10.8" thickBot="1" x14ac:dyDescent="0.25">
      <c r="A72" s="283" t="s">
        <v>10</v>
      </c>
      <c r="B72" s="284" t="s">
        <v>449</v>
      </c>
      <c r="D72" s="556" t="s">
        <v>404</v>
      </c>
      <c r="E72" s="557"/>
      <c r="F72" s="558"/>
      <c r="P72" s="49"/>
      <c r="Q72" s="38"/>
    </row>
    <row r="73" spans="1:17" x14ac:dyDescent="0.2">
      <c r="P73" s="49"/>
      <c r="Q73" s="38"/>
    </row>
    <row r="74" spans="1:17" x14ac:dyDescent="0.2">
      <c r="A74" s="495" t="str">
        <f>+'1-10'!C94</f>
        <v>ISUZU FSR800 WATER TANKER [063]</v>
      </c>
      <c r="B74" s="508" t="str">
        <f>+'1-10'!R94</f>
        <v>CNC 461 L</v>
      </c>
      <c r="C74" s="483">
        <v>693</v>
      </c>
      <c r="D74" s="6">
        <v>10000</v>
      </c>
      <c r="E74" s="514">
        <f>+D74/2.5*11.5</f>
        <v>46000</v>
      </c>
      <c r="F74" s="28">
        <v>23400</v>
      </c>
      <c r="G74" s="28">
        <f>CALC!$A$23*(CEM!I74/CEM!I$148)</f>
        <v>9929.9690776752341</v>
      </c>
      <c r="H74" s="28">
        <f>95000*(1+CALC!B$14)</f>
        <v>102600</v>
      </c>
      <c r="I74" s="28">
        <v>67302.240000000005</v>
      </c>
      <c r="J74" s="28"/>
      <c r="K74" s="522">
        <f>12420*(1+CALC!B$13)</f>
        <v>13910.400000000001</v>
      </c>
      <c r="L74" s="28"/>
      <c r="M74" s="28">
        <f>SUM(E74:L74)</f>
        <v>263142.60907767527</v>
      </c>
      <c r="N74" s="24">
        <f>M74/CALC!$A$8*CALC!$A$6</f>
        <v>5139.4319712688193</v>
      </c>
      <c r="O74" s="28">
        <f>+M74+N74</f>
        <v>268282.04104894411</v>
      </c>
      <c r="P74" s="37">
        <v>0.15</v>
      </c>
      <c r="Q74" s="38"/>
    </row>
    <row r="75" spans="1:17" x14ac:dyDescent="0.2">
      <c r="A75" s="495" t="str">
        <f>+'1-10'!C95</f>
        <v>ISUZU FSR800 WATER TANKER [063]</v>
      </c>
      <c r="B75" s="508" t="str">
        <f>+'1-10'!R95</f>
        <v>CPP 523 L</v>
      </c>
      <c r="C75" s="483">
        <v>694</v>
      </c>
      <c r="D75" s="6">
        <v>5000</v>
      </c>
      <c r="E75" s="514">
        <f>+D75/2.5*11.5</f>
        <v>23000</v>
      </c>
      <c r="F75" s="28">
        <v>23400</v>
      </c>
      <c r="G75" s="28">
        <f>CALC!$A$23*(CEM!I75/CEM!I$148)</f>
        <v>9929.9587496707645</v>
      </c>
      <c r="H75" s="28">
        <f>95000*(1+CALC!B$14)</f>
        <v>102600</v>
      </c>
      <c r="I75" s="481">
        <v>67302.17</v>
      </c>
      <c r="J75" s="28"/>
      <c r="K75" s="522">
        <f>8358*(1+CALC!B$13)</f>
        <v>9360.9600000000009</v>
      </c>
      <c r="L75" s="28"/>
      <c r="M75" s="28">
        <f>SUM(E75:L75)</f>
        <v>235593.08874967074</v>
      </c>
      <c r="N75" s="24">
        <f>M75/CALC!$A$8*CALC!$A$6</f>
        <v>4601.3629521041121</v>
      </c>
      <c r="O75" s="28">
        <f>+M75+N75</f>
        <v>240194.45170177484</v>
      </c>
      <c r="P75" s="37">
        <v>0.15</v>
      </c>
      <c r="Q75" s="38"/>
    </row>
    <row r="76" spans="1:17" s="7" customFormat="1" x14ac:dyDescent="0.2">
      <c r="B76" s="3" t="s">
        <v>14</v>
      </c>
      <c r="C76" s="18"/>
      <c r="D76" s="12">
        <f t="shared" ref="D76:K76" si="12">SUM(D74:D75)</f>
        <v>15000</v>
      </c>
      <c r="E76" s="24">
        <f t="shared" si="12"/>
        <v>69000</v>
      </c>
      <c r="F76" s="24">
        <f t="shared" si="12"/>
        <v>46800</v>
      </c>
      <c r="G76" s="24">
        <f t="shared" si="12"/>
        <v>19859.927827346</v>
      </c>
      <c r="H76" s="24">
        <f t="shared" si="12"/>
        <v>205200</v>
      </c>
      <c r="I76" s="24">
        <f t="shared" si="12"/>
        <v>134604.41</v>
      </c>
      <c r="J76" s="24">
        <f t="shared" si="12"/>
        <v>0</v>
      </c>
      <c r="K76" s="24">
        <f t="shared" si="12"/>
        <v>23271.360000000001</v>
      </c>
      <c r="L76" s="10">
        <f t="shared" ref="L76" si="13">+L74+L75</f>
        <v>0</v>
      </c>
      <c r="M76" s="24">
        <f>SUM(M74:M75)</f>
        <v>498735.69782734604</v>
      </c>
      <c r="N76" s="24">
        <f>M76/CALC!$A$8*CALC!$A$6</f>
        <v>9740.7949233729323</v>
      </c>
      <c r="O76" s="24">
        <f>+M76+N76</f>
        <v>508476.49275071896</v>
      </c>
      <c r="P76" s="39"/>
      <c r="Q76" s="40">
        <f>(+O76/D76)*(1+CALC!$A$3)</f>
        <v>33.898432850047932</v>
      </c>
    </row>
    <row r="77" spans="1:17" ht="10.8" thickBot="1" x14ac:dyDescent="0.25">
      <c r="P77" s="49"/>
      <c r="Q77" s="38"/>
    </row>
    <row r="78" spans="1:17" ht="10.8" thickBot="1" x14ac:dyDescent="0.25">
      <c r="A78" s="283" t="s">
        <v>10</v>
      </c>
      <c r="B78" s="284" t="s">
        <v>450</v>
      </c>
      <c r="D78" s="556" t="s">
        <v>403</v>
      </c>
      <c r="E78" s="557"/>
      <c r="F78" s="558"/>
      <c r="P78" s="49"/>
      <c r="Q78" s="38"/>
    </row>
    <row r="79" spans="1:17" x14ac:dyDescent="0.2">
      <c r="P79" s="49"/>
      <c r="Q79" s="38"/>
    </row>
    <row r="80" spans="1:17" x14ac:dyDescent="0.2">
      <c r="A80" s="495" t="str">
        <f>+'1-10'!C96</f>
        <v>TIPPER TRUCK TATA 1518LPK [063]</v>
      </c>
      <c r="B80" s="508" t="str">
        <f>+'1-10'!R96</f>
        <v>CNG 476 L</v>
      </c>
      <c r="C80" s="483">
        <v>695</v>
      </c>
      <c r="D80" s="6">
        <v>10000</v>
      </c>
      <c r="E80" s="514"/>
      <c r="F80" s="28">
        <v>23400</v>
      </c>
      <c r="G80" s="28">
        <f>CALC!$A$23*(CEM!I80/CEM!I$148)</f>
        <v>5151.7074824759247</v>
      </c>
      <c r="H80" s="28"/>
      <c r="I80" s="28">
        <v>34916.67</v>
      </c>
      <c r="J80" s="28"/>
      <c r="K80" s="522">
        <f>9228*(1+CALC!B$13)</f>
        <v>10335.36</v>
      </c>
      <c r="L80" s="28"/>
      <c r="M80" s="28">
        <f>SUM(E80:L80)</f>
        <v>73803.737482475932</v>
      </c>
      <c r="N80" s="24">
        <f>M80/CALC!$A$8*CALC!$A$6</f>
        <v>1441.4590223379673</v>
      </c>
      <c r="O80" s="28">
        <f>+M80+N80</f>
        <v>75245.196504813895</v>
      </c>
      <c r="P80" s="37">
        <v>0.15</v>
      </c>
      <c r="Q80" s="38"/>
    </row>
    <row r="81" spans="1:17" x14ac:dyDescent="0.2">
      <c r="A81" s="495" t="str">
        <f>+'1-10'!C97</f>
        <v>TIPPER TRUCK TATA 1518LPK [063]</v>
      </c>
      <c r="B81" s="508" t="str">
        <f>+'1-10'!R97</f>
        <v>CNG 464 L</v>
      </c>
      <c r="C81" s="483">
        <v>696</v>
      </c>
      <c r="D81" s="6">
        <v>10000</v>
      </c>
      <c r="E81" s="47"/>
      <c r="F81" s="28">
        <v>23400</v>
      </c>
      <c r="G81" s="28">
        <f>CALC!$A$23*(CEM!I81/CEM!I$148)</f>
        <v>5151.7074824759247</v>
      </c>
      <c r="H81" s="28"/>
      <c r="I81" s="28">
        <v>34916.67</v>
      </c>
      <c r="J81" s="28"/>
      <c r="K81" s="522">
        <f>9228*(1+CALC!B$13)</f>
        <v>10335.36</v>
      </c>
      <c r="L81" s="28"/>
      <c r="M81" s="28">
        <f>SUM(E81:L81)</f>
        <v>73803.737482475932</v>
      </c>
      <c r="N81" s="24">
        <f>M81/CALC!$A$8*CALC!$A$6</f>
        <v>1441.4590223379673</v>
      </c>
      <c r="O81" s="28">
        <f>+M81+N81</f>
        <v>75245.196504813895</v>
      </c>
      <c r="P81" s="37">
        <v>0.15</v>
      </c>
      <c r="Q81" s="38"/>
    </row>
    <row r="82" spans="1:17" x14ac:dyDescent="0.2">
      <c r="A82" s="512" t="str">
        <f>+'1-10'!C98</f>
        <v>TIPPER TRUCK TATA 1518LPK [063]</v>
      </c>
      <c r="B82" s="508" t="str">
        <f>+'1-10'!R98</f>
        <v>CNG 468 L</v>
      </c>
      <c r="C82" s="509">
        <v>697</v>
      </c>
      <c r="D82" s="6">
        <v>10000</v>
      </c>
      <c r="E82" s="514"/>
      <c r="F82" s="28">
        <v>23400</v>
      </c>
      <c r="G82" s="28">
        <f>CALC!$A$23*(CEM!I82/CEM!I$148)</f>
        <v>5151.7074824759247</v>
      </c>
      <c r="H82" s="28"/>
      <c r="I82" s="28">
        <v>34916.67</v>
      </c>
      <c r="J82" s="28"/>
      <c r="K82" s="522">
        <f>9228*(1+CALC!B$13)</f>
        <v>10335.36</v>
      </c>
      <c r="L82" s="28"/>
      <c r="M82" s="28">
        <f>SUM(E82:L82)</f>
        <v>73803.737482475932</v>
      </c>
      <c r="N82" s="24">
        <f>M82/CALC!$A$8*CALC!$A$6</f>
        <v>1441.4590223379673</v>
      </c>
      <c r="O82" s="28">
        <f>+M82+N82</f>
        <v>75245.196504813895</v>
      </c>
      <c r="P82" s="37">
        <v>0.15</v>
      </c>
      <c r="Q82" s="38"/>
    </row>
    <row r="83" spans="1:17" x14ac:dyDescent="0.2">
      <c r="A83" s="495" t="str">
        <f>+'1-10'!C99</f>
        <v>TIPPER TRUCK TATA 1518LPK [063]</v>
      </c>
      <c r="B83" s="508" t="str">
        <f>+'1-10'!R99</f>
        <v>CNG 480 L</v>
      </c>
      <c r="C83" s="483">
        <v>698</v>
      </c>
      <c r="D83" s="6">
        <v>10000</v>
      </c>
      <c r="E83" s="514"/>
      <c r="F83" s="28">
        <v>23400</v>
      </c>
      <c r="G83" s="28">
        <f>CALC!$A$23*(CEM!I83/CEM!I$148)</f>
        <v>5151.7074824759247</v>
      </c>
      <c r="H83" s="28"/>
      <c r="I83" s="28">
        <v>34916.67</v>
      </c>
      <c r="J83" s="28"/>
      <c r="K83" s="522">
        <f>9228*(1+CALC!B$13)</f>
        <v>10335.36</v>
      </c>
      <c r="L83" s="28"/>
      <c r="M83" s="28">
        <f>SUM(E83:L83)</f>
        <v>73803.737482475932</v>
      </c>
      <c r="N83" s="24">
        <f>M83/CALC!$A$8*CALC!$A$6</f>
        <v>1441.4590223379673</v>
      </c>
      <c r="O83" s="28">
        <f>+M83+N83</f>
        <v>75245.196504813895</v>
      </c>
      <c r="P83" s="37">
        <v>0.15</v>
      </c>
      <c r="Q83" s="38"/>
    </row>
    <row r="84" spans="1:17" s="7" customFormat="1" x14ac:dyDescent="0.2">
      <c r="B84" s="3" t="s">
        <v>14</v>
      </c>
      <c r="C84" s="18"/>
      <c r="D84" s="12">
        <f t="shared" ref="D84:O84" si="14">SUM(D80:D83)</f>
        <v>40000</v>
      </c>
      <c r="E84" s="24">
        <f t="shared" si="14"/>
        <v>0</v>
      </c>
      <c r="F84" s="24">
        <f t="shared" si="14"/>
        <v>93600</v>
      </c>
      <c r="G84" s="24">
        <f t="shared" si="14"/>
        <v>20606.829929903699</v>
      </c>
      <c r="H84" s="24">
        <f t="shared" si="14"/>
        <v>0</v>
      </c>
      <c r="I84" s="24">
        <f t="shared" si="14"/>
        <v>139666.68</v>
      </c>
      <c r="J84" s="24">
        <f t="shared" si="14"/>
        <v>0</v>
      </c>
      <c r="K84" s="466">
        <f t="shared" si="14"/>
        <v>41341.440000000002</v>
      </c>
      <c r="L84" s="24">
        <f t="shared" si="14"/>
        <v>0</v>
      </c>
      <c r="M84" s="24">
        <f t="shared" si="14"/>
        <v>295214.94992990373</v>
      </c>
      <c r="N84" s="24">
        <f t="shared" si="14"/>
        <v>5765.8360893518693</v>
      </c>
      <c r="O84" s="24">
        <f t="shared" si="14"/>
        <v>300980.78601925558</v>
      </c>
      <c r="P84" s="39"/>
      <c r="Q84" s="40">
        <f>(+O84/D84)*(1+CALC!$A$3)</f>
        <v>7.5245196504813894</v>
      </c>
    </row>
    <row r="85" spans="1:17" x14ac:dyDescent="0.2">
      <c r="Q85" s="16"/>
    </row>
    <row r="86" spans="1:17" ht="10.8" thickBot="1" x14ac:dyDescent="0.25">
      <c r="Q86" s="16"/>
    </row>
    <row r="87" spans="1:17" ht="10.8" thickBot="1" x14ac:dyDescent="0.25">
      <c r="A87" s="283" t="s">
        <v>10</v>
      </c>
      <c r="B87" s="284" t="s">
        <v>112</v>
      </c>
      <c r="D87" s="556" t="s">
        <v>26</v>
      </c>
      <c r="E87" s="557"/>
      <c r="F87" s="558"/>
      <c r="Q87" s="16"/>
    </row>
    <row r="88" spans="1:17" x14ac:dyDescent="0.2">
      <c r="Q88" s="16"/>
    </row>
    <row r="89" spans="1:17" s="469" customFormat="1" x14ac:dyDescent="0.2">
      <c r="A89" s="462" t="s">
        <v>1541</v>
      </c>
      <c r="B89" s="462" t="s">
        <v>1542</v>
      </c>
      <c r="C89" s="333">
        <v>99</v>
      </c>
      <c r="D89" s="463">
        <v>25</v>
      </c>
      <c r="E89" s="470">
        <f>+D89/P89*(CALC!$A$4)</f>
        <v>1631.9444444444443</v>
      </c>
      <c r="F89" s="465"/>
      <c r="G89" s="28">
        <f>CALC!$A$23*(CEM!I89/CEM!I$148)</f>
        <v>0</v>
      </c>
      <c r="H89" s="465">
        <f>3000*(1+CALC!B$14)</f>
        <v>3240</v>
      </c>
      <c r="I89" s="465"/>
      <c r="J89" s="465"/>
      <c r="K89" s="522">
        <f>468*(1+CALC!B$13)</f>
        <v>524.16000000000008</v>
      </c>
      <c r="L89" s="465"/>
      <c r="M89" s="465">
        <f t="shared" ref="M89:M103" si="15">SUM(E89:L89)</f>
        <v>5396.1044444444442</v>
      </c>
      <c r="N89" s="466">
        <f>M89/CALC!$A$8*CALC!$A$6</f>
        <v>105.3911861681711</v>
      </c>
      <c r="O89" s="465">
        <f>+M89+N89</f>
        <v>5501.4956306126151</v>
      </c>
      <c r="P89" s="467">
        <v>0.36</v>
      </c>
      <c r="Q89" s="468"/>
    </row>
    <row r="90" spans="1:17" s="469" customFormat="1" x14ac:dyDescent="0.2">
      <c r="A90" s="462" t="s">
        <v>29</v>
      </c>
      <c r="B90" s="462" t="s">
        <v>128</v>
      </c>
      <c r="C90" s="333">
        <v>101</v>
      </c>
      <c r="D90" s="463">
        <v>0</v>
      </c>
      <c r="E90" s="470">
        <f>+D90/P90*(CALC!$A$4)</f>
        <v>0</v>
      </c>
      <c r="F90" s="465"/>
      <c r="G90" s="28">
        <f>CALC!$A$23*(CEM!I90/CEM!I$148)</f>
        <v>0</v>
      </c>
      <c r="H90" s="465">
        <f>3000*(1+CALC!B$14)</f>
        <v>3240</v>
      </c>
      <c r="I90" s="465"/>
      <c r="J90" s="465"/>
      <c r="K90" s="522">
        <f>468*(1+CALC!B$13)</f>
        <v>524.16000000000008</v>
      </c>
      <c r="L90" s="465"/>
      <c r="M90" s="465">
        <f t="shared" si="15"/>
        <v>3764.16</v>
      </c>
      <c r="N90" s="466">
        <f>M90/CALC!$A$8*CALC!$A$6</f>
        <v>73.517718459881692</v>
      </c>
      <c r="O90" s="465">
        <f>+M90</f>
        <v>3764.16</v>
      </c>
      <c r="P90" s="467">
        <v>3</v>
      </c>
      <c r="Q90" s="468"/>
    </row>
    <row r="91" spans="1:17" s="469" customFormat="1" x14ac:dyDescent="0.2">
      <c r="A91" s="482" t="s">
        <v>64</v>
      </c>
      <c r="B91" s="482" t="s">
        <v>1460</v>
      </c>
      <c r="C91" s="483">
        <v>102</v>
      </c>
      <c r="D91" s="463">
        <v>0</v>
      </c>
      <c r="E91" s="470">
        <f>+D91/P91*(CALC!$A$4)</f>
        <v>0</v>
      </c>
      <c r="F91" s="465"/>
      <c r="G91" s="28">
        <f>CALC!$A$23*(CEM!I91/CEM!I$148)</f>
        <v>0</v>
      </c>
      <c r="H91" s="465">
        <f>3000*(1+CALC!B$14)</f>
        <v>3240</v>
      </c>
      <c r="I91" s="465"/>
      <c r="J91" s="465"/>
      <c r="K91" s="522">
        <f>468*(1+CALC!B$13)</f>
        <v>524.16000000000008</v>
      </c>
      <c r="L91" s="465"/>
      <c r="M91" s="465">
        <f t="shared" si="15"/>
        <v>3764.16</v>
      </c>
      <c r="N91" s="466">
        <f>M91/CALC!$A$8*CALC!$A$6</f>
        <v>73.517718459881692</v>
      </c>
      <c r="O91" s="465">
        <f>+M91+N91</f>
        <v>3837.6777184598814</v>
      </c>
      <c r="P91" s="467">
        <v>0.36</v>
      </c>
      <c r="Q91" s="468"/>
    </row>
    <row r="92" spans="1:17" s="469" customFormat="1" x14ac:dyDescent="0.2">
      <c r="A92" s="462" t="s">
        <v>1486</v>
      </c>
      <c r="B92" s="462" t="s">
        <v>1487</v>
      </c>
      <c r="C92" s="333">
        <v>104</v>
      </c>
      <c r="D92" s="463">
        <v>0</v>
      </c>
      <c r="E92" s="470">
        <f>+D92/P92*(CALC!$A$4)</f>
        <v>0</v>
      </c>
      <c r="F92" s="465"/>
      <c r="G92" s="28">
        <f>CALC!$A$23*(CEM!I92/CEM!I$148)</f>
        <v>0</v>
      </c>
      <c r="H92" s="465">
        <f>3000*(1+CALC!B$14)</f>
        <v>3240</v>
      </c>
      <c r="I92" s="465"/>
      <c r="J92" s="465"/>
      <c r="K92" s="522">
        <f>168*(1+CALC!B$13)</f>
        <v>188.16000000000003</v>
      </c>
      <c r="L92" s="465"/>
      <c r="M92" s="465">
        <f t="shared" si="15"/>
        <v>3428.16</v>
      </c>
      <c r="N92" s="466">
        <f>M92/CALC!$A$8*CALC!$A$6</f>
        <v>66.955310538188598</v>
      </c>
      <c r="O92" s="465">
        <f>+M92</f>
        <v>3428.16</v>
      </c>
      <c r="P92" s="467">
        <v>2.5</v>
      </c>
      <c r="Q92" s="468"/>
    </row>
    <row r="93" spans="1:17" s="469" customFormat="1" x14ac:dyDescent="0.2">
      <c r="A93" s="462" t="s">
        <v>1533</v>
      </c>
      <c r="B93" s="462" t="s">
        <v>1534</v>
      </c>
      <c r="C93" s="333">
        <v>105</v>
      </c>
      <c r="D93" s="463">
        <v>0</v>
      </c>
      <c r="E93" s="470">
        <f>+D93/P93*(CALC!$A$4)</f>
        <v>0</v>
      </c>
      <c r="F93" s="465"/>
      <c r="G93" s="28">
        <f>CALC!$A$23*(CEM!I93/CEM!I$148)</f>
        <v>0</v>
      </c>
      <c r="H93" s="465">
        <f>3000*(1+CALC!B$14)</f>
        <v>3240</v>
      </c>
      <c r="I93" s="465"/>
      <c r="J93" s="465"/>
      <c r="K93" s="522">
        <f>468*(1+CALC!B$13)</f>
        <v>524.16000000000008</v>
      </c>
      <c r="L93" s="465"/>
      <c r="M93" s="465">
        <f t="shared" si="15"/>
        <v>3764.16</v>
      </c>
      <c r="N93" s="466">
        <f>M93/CALC!$A$8*CALC!$A$6</f>
        <v>73.517718459881692</v>
      </c>
      <c r="O93" s="465">
        <f>+M93</f>
        <v>3764.16</v>
      </c>
      <c r="P93" s="467">
        <v>1.8</v>
      </c>
      <c r="Q93" s="468"/>
    </row>
    <row r="94" spans="1:17" s="469" customFormat="1" x14ac:dyDescent="0.2">
      <c r="A94" s="462" t="s">
        <v>1548</v>
      </c>
      <c r="B94" s="462" t="s">
        <v>1549</v>
      </c>
      <c r="C94" s="333">
        <v>106</v>
      </c>
      <c r="D94" s="463">
        <v>0</v>
      </c>
      <c r="E94" s="470">
        <f>+D94/P94*(CALC!$A$4)</f>
        <v>0</v>
      </c>
      <c r="F94" s="465"/>
      <c r="G94" s="28">
        <f>CALC!$A$23*(CEM!I94/CEM!I$148)</f>
        <v>0</v>
      </c>
      <c r="H94" s="465">
        <f>3000*(1+CALC!B$14)</f>
        <v>3240</v>
      </c>
      <c r="I94" s="465"/>
      <c r="J94" s="465"/>
      <c r="K94" s="522">
        <f>468*(1+CALC!B$13)</f>
        <v>524.16000000000008</v>
      </c>
      <c r="L94" s="465"/>
      <c r="M94" s="465">
        <f t="shared" si="15"/>
        <v>3764.16</v>
      </c>
      <c r="N94" s="466">
        <f>M94/CALC!$A$8*CALC!$A$6</f>
        <v>73.517718459881692</v>
      </c>
      <c r="O94" s="465">
        <f>+M94</f>
        <v>3764.16</v>
      </c>
      <c r="P94" s="467">
        <v>2</v>
      </c>
      <c r="Q94" s="468"/>
    </row>
    <row r="95" spans="1:17" s="469" customFormat="1" x14ac:dyDescent="0.2">
      <c r="A95" s="462" t="s">
        <v>1482</v>
      </c>
      <c r="B95" s="462" t="s">
        <v>1483</v>
      </c>
      <c r="C95" s="333">
        <v>109</v>
      </c>
      <c r="D95" s="463">
        <v>0</v>
      </c>
      <c r="E95" s="470">
        <f>+D95/P95*(CALC!$A$4)</f>
        <v>0</v>
      </c>
      <c r="F95" s="465"/>
      <c r="G95" s="28">
        <f>CALC!$A$23*(CEM!I95/CEM!I$148)</f>
        <v>0</v>
      </c>
      <c r="H95" s="465"/>
      <c r="I95" s="465"/>
      <c r="J95" s="465"/>
      <c r="K95" s="522">
        <f>168*(1+CALC!B$13)</f>
        <v>188.16000000000003</v>
      </c>
      <c r="L95" s="465"/>
      <c r="M95" s="465">
        <f t="shared" si="15"/>
        <v>188.16000000000003</v>
      </c>
      <c r="N95" s="466">
        <f>M95/CALC!$A$8*CALC!$A$6</f>
        <v>3.6749484361481293</v>
      </c>
      <c r="O95" s="465">
        <f t="shared" ref="O95:O104" si="16">+M95+N95</f>
        <v>191.83494843614815</v>
      </c>
      <c r="P95" s="467">
        <v>0.1</v>
      </c>
      <c r="Q95" s="468"/>
    </row>
    <row r="96" spans="1:17" s="469" customFormat="1" x14ac:dyDescent="0.2">
      <c r="A96" s="503" t="s">
        <v>1517</v>
      </c>
      <c r="B96" s="503" t="s">
        <v>1518</v>
      </c>
      <c r="C96" s="504">
        <v>118</v>
      </c>
      <c r="D96" s="505">
        <v>0</v>
      </c>
      <c r="E96" s="470">
        <f>+D96/P96*(CALC!$A$4)</f>
        <v>0</v>
      </c>
      <c r="F96" s="465">
        <v>0</v>
      </c>
      <c r="G96" s="28">
        <f>CALC!$A$23*(CEM!I96/CEM!I$148)</f>
        <v>0</v>
      </c>
      <c r="H96" s="465">
        <v>0</v>
      </c>
      <c r="I96" s="465"/>
      <c r="J96" s="465"/>
      <c r="K96" s="522">
        <v>0</v>
      </c>
      <c r="L96" s="465"/>
      <c r="M96" s="465">
        <f t="shared" si="15"/>
        <v>0</v>
      </c>
      <c r="N96" s="466">
        <f>M96/CALC!$A$8*CALC!$A$6</f>
        <v>0</v>
      </c>
      <c r="O96" s="465">
        <f t="shared" si="16"/>
        <v>0</v>
      </c>
      <c r="P96" s="467">
        <v>0.27</v>
      </c>
      <c r="Q96" s="468"/>
    </row>
    <row r="97" spans="1:17" s="469" customFormat="1" x14ac:dyDescent="0.2">
      <c r="A97" s="503" t="s">
        <v>1519</v>
      </c>
      <c r="B97" s="503" t="s">
        <v>1520</v>
      </c>
      <c r="C97" s="504">
        <v>119</v>
      </c>
      <c r="D97" s="505">
        <v>0</v>
      </c>
      <c r="E97" s="470">
        <f>+D97/P97*(CALC!$A$4)</f>
        <v>0</v>
      </c>
      <c r="F97" s="465">
        <v>0</v>
      </c>
      <c r="G97" s="28">
        <f>CALC!$A$23*(CEM!I97/CEM!I$148)</f>
        <v>0</v>
      </c>
      <c r="H97" s="465">
        <v>0</v>
      </c>
      <c r="I97" s="465"/>
      <c r="J97" s="465"/>
      <c r="K97" s="522">
        <v>0</v>
      </c>
      <c r="L97" s="465"/>
      <c r="M97" s="465">
        <f t="shared" si="15"/>
        <v>0</v>
      </c>
      <c r="N97" s="466">
        <f>M97/CALC!$A$8*CALC!$A$6</f>
        <v>0</v>
      </c>
      <c r="O97" s="465">
        <f t="shared" si="16"/>
        <v>0</v>
      </c>
      <c r="P97" s="467">
        <v>0.27</v>
      </c>
      <c r="Q97" s="468"/>
    </row>
    <row r="98" spans="1:17" s="469" customFormat="1" x14ac:dyDescent="0.2">
      <c r="A98" s="503" t="s">
        <v>1535</v>
      </c>
      <c r="B98" s="503" t="s">
        <v>1536</v>
      </c>
      <c r="C98" s="504">
        <v>120</v>
      </c>
      <c r="D98" s="505">
        <v>0</v>
      </c>
      <c r="E98" s="470">
        <f>+D98/P98*(CALC!$A$4)</f>
        <v>0</v>
      </c>
      <c r="F98" s="465"/>
      <c r="G98" s="28">
        <f>CALC!$A$23*(CEM!I98/CEM!I$148)</f>
        <v>0</v>
      </c>
      <c r="H98" s="465">
        <v>0</v>
      </c>
      <c r="I98" s="465"/>
      <c r="J98" s="465"/>
      <c r="K98" s="465">
        <v>0</v>
      </c>
      <c r="L98" s="465"/>
      <c r="M98" s="465">
        <f t="shared" si="15"/>
        <v>0</v>
      </c>
      <c r="N98" s="466">
        <f>M98/CALC!$A$8*CALC!$A$6</f>
        <v>0</v>
      </c>
      <c r="O98" s="465">
        <f t="shared" si="16"/>
        <v>0</v>
      </c>
      <c r="P98" s="467">
        <v>0.1</v>
      </c>
      <c r="Q98" s="468"/>
    </row>
    <row r="99" spans="1:17" s="469" customFormat="1" x14ac:dyDescent="0.2">
      <c r="A99" s="462" t="s">
        <v>1543</v>
      </c>
      <c r="B99" s="462" t="s">
        <v>1459</v>
      </c>
      <c r="C99" s="333">
        <v>122</v>
      </c>
      <c r="D99" s="463">
        <v>50</v>
      </c>
      <c r="E99" s="470">
        <f>+D99/P99*(CALC!$A$4)</f>
        <v>9791.6666666666679</v>
      </c>
      <c r="F99" s="465"/>
      <c r="G99" s="28">
        <f>CALC!$A$23*(CEM!I99/CEM!I$148)</f>
        <v>0</v>
      </c>
      <c r="H99" s="465">
        <f>2000*(1+CALC!B$14)</f>
        <v>2160</v>
      </c>
      <c r="I99" s="465"/>
      <c r="J99" s="465"/>
      <c r="K99" s="522">
        <f>468*(1+CALC!B$13)</f>
        <v>524.16000000000008</v>
      </c>
      <c r="L99" s="465"/>
      <c r="M99" s="465">
        <f t="shared" si="15"/>
        <v>12475.826666666668</v>
      </c>
      <c r="N99" s="466">
        <f>M99/CALC!$A$8*CALC!$A$6</f>
        <v>243.66507067560477</v>
      </c>
      <c r="O99" s="465">
        <f t="shared" si="16"/>
        <v>12719.491737342272</v>
      </c>
      <c r="P99" s="467">
        <v>0.12</v>
      </c>
      <c r="Q99" s="468"/>
    </row>
    <row r="100" spans="1:17" s="469" customFormat="1" x14ac:dyDescent="0.2">
      <c r="A100" s="462" t="s">
        <v>64</v>
      </c>
      <c r="B100" s="462" t="s">
        <v>124</v>
      </c>
      <c r="C100" s="333">
        <v>264</v>
      </c>
      <c r="D100" s="463">
        <v>100</v>
      </c>
      <c r="E100" s="470">
        <f>+D100/P100*(CALC!$A$4)</f>
        <v>6527.7777777777774</v>
      </c>
      <c r="F100" s="465"/>
      <c r="G100" s="28">
        <f>CALC!$A$23*(CEM!I100/CEM!I$148)</f>
        <v>0</v>
      </c>
      <c r="H100" s="465">
        <f>2000*(1+CALC!B$14)</f>
        <v>2160</v>
      </c>
      <c r="I100" s="465"/>
      <c r="J100" s="465"/>
      <c r="K100" s="465">
        <v>0</v>
      </c>
      <c r="L100" s="465"/>
      <c r="M100" s="465">
        <f t="shared" si="15"/>
        <v>8687.7777777777774</v>
      </c>
      <c r="N100" s="466">
        <f>M100/CALC!$A$8*CALC!$A$6</f>
        <v>169.68077890118465</v>
      </c>
      <c r="O100" s="465">
        <f t="shared" si="16"/>
        <v>8857.4585566789629</v>
      </c>
      <c r="P100" s="467">
        <v>0.36</v>
      </c>
      <c r="Q100" s="468"/>
    </row>
    <row r="101" spans="1:17" s="469" customFormat="1" x14ac:dyDescent="0.2">
      <c r="A101" s="462" t="s">
        <v>64</v>
      </c>
      <c r="B101" s="462" t="s">
        <v>125</v>
      </c>
      <c r="C101" s="333">
        <v>265</v>
      </c>
      <c r="D101" s="463">
        <v>100</v>
      </c>
      <c r="E101" s="470">
        <f>+D101/P101*(CALC!$A$4)</f>
        <v>6527.7777777777774</v>
      </c>
      <c r="F101" s="465"/>
      <c r="G101" s="28">
        <f>CALC!$A$23*(CEM!I101/CEM!I$148)</f>
        <v>0</v>
      </c>
      <c r="H101" s="465">
        <f>2000*(1+CALC!B$14)</f>
        <v>2160</v>
      </c>
      <c r="I101" s="465"/>
      <c r="J101" s="465"/>
      <c r="K101" s="465">
        <v>0</v>
      </c>
      <c r="L101" s="465"/>
      <c r="M101" s="465">
        <f t="shared" si="15"/>
        <v>8687.7777777777774</v>
      </c>
      <c r="N101" s="466">
        <f>M101/CALC!$A$8*CALC!$A$6</f>
        <v>169.68077890118465</v>
      </c>
      <c r="O101" s="465">
        <f t="shared" si="16"/>
        <v>8857.4585566789629</v>
      </c>
      <c r="P101" s="467">
        <v>0.36</v>
      </c>
      <c r="Q101" s="468"/>
    </row>
    <row r="102" spans="1:17" s="469" customFormat="1" x14ac:dyDescent="0.2">
      <c r="A102" s="462" t="s">
        <v>64</v>
      </c>
      <c r="B102" s="462" t="s">
        <v>126</v>
      </c>
      <c r="C102" s="333">
        <v>266</v>
      </c>
      <c r="D102" s="463">
        <v>100</v>
      </c>
      <c r="E102" s="470">
        <f>+D102/P102*(CALC!$A$4)</f>
        <v>6527.7777777777774</v>
      </c>
      <c r="F102" s="465"/>
      <c r="G102" s="28">
        <f>CALC!$A$23*(CEM!I102/CEM!I$148)</f>
        <v>0</v>
      </c>
      <c r="H102" s="465">
        <f>2000*(1+CALC!B$14)</f>
        <v>2160</v>
      </c>
      <c r="I102" s="465"/>
      <c r="J102" s="465"/>
      <c r="K102" s="465">
        <v>0</v>
      </c>
      <c r="L102" s="465"/>
      <c r="M102" s="465">
        <f t="shared" si="15"/>
        <v>8687.7777777777774</v>
      </c>
      <c r="N102" s="466">
        <f>M102/CALC!$A$8*CALC!$A$6</f>
        <v>169.68077890118465</v>
      </c>
      <c r="O102" s="465">
        <f t="shared" si="16"/>
        <v>8857.4585566789629</v>
      </c>
      <c r="P102" s="467">
        <v>0.36</v>
      </c>
      <c r="Q102" s="468"/>
    </row>
    <row r="103" spans="1:17" s="469" customFormat="1" x14ac:dyDescent="0.2">
      <c r="A103" s="462" t="s">
        <v>64</v>
      </c>
      <c r="B103" s="462" t="s">
        <v>127</v>
      </c>
      <c r="C103" s="333">
        <v>267</v>
      </c>
      <c r="D103" s="463">
        <v>100</v>
      </c>
      <c r="E103" s="470">
        <f>+D103/P103*(CALC!$A$4)</f>
        <v>6527.7777777777774</v>
      </c>
      <c r="F103" s="465"/>
      <c r="G103" s="28">
        <f>CALC!$A$23*(CEM!I103/CEM!I$148)</f>
        <v>0</v>
      </c>
      <c r="H103" s="465">
        <f>2000*(1+CALC!B$14)</f>
        <v>2160</v>
      </c>
      <c r="I103" s="465"/>
      <c r="J103" s="465"/>
      <c r="K103" s="465">
        <v>0</v>
      </c>
      <c r="L103" s="465"/>
      <c r="M103" s="465">
        <f t="shared" si="15"/>
        <v>8687.7777777777774</v>
      </c>
      <c r="N103" s="466">
        <f>M103/CALC!$A$8*CALC!$A$6</f>
        <v>169.68077890118465</v>
      </c>
      <c r="O103" s="465">
        <f t="shared" si="16"/>
        <v>8857.4585566789629</v>
      </c>
      <c r="P103" s="467">
        <v>0.36</v>
      </c>
      <c r="Q103" s="468"/>
    </row>
    <row r="104" spans="1:17" s="7" customFormat="1" x14ac:dyDescent="0.2">
      <c r="B104" s="3" t="s">
        <v>14</v>
      </c>
      <c r="C104" s="18"/>
      <c r="D104" s="12">
        <f>SUM(D89:D103)</f>
        <v>475</v>
      </c>
      <c r="E104" s="24">
        <f t="shared" ref="E104:M104" si="17">SUM(E89:E103)</f>
        <v>37534.722222222219</v>
      </c>
      <c r="F104" s="10">
        <f t="shared" si="17"/>
        <v>0</v>
      </c>
      <c r="G104" s="10">
        <f t="shared" si="17"/>
        <v>0</v>
      </c>
      <c r="H104" s="10">
        <f t="shared" si="17"/>
        <v>30240</v>
      </c>
      <c r="I104" s="10">
        <f t="shared" si="17"/>
        <v>0</v>
      </c>
      <c r="J104" s="10"/>
      <c r="K104" s="10">
        <f t="shared" si="17"/>
        <v>3521.2799999999997</v>
      </c>
      <c r="L104" s="10">
        <f t="shared" si="17"/>
        <v>0</v>
      </c>
      <c r="M104" s="10">
        <f t="shared" si="17"/>
        <v>71296.002222222232</v>
      </c>
      <c r="N104" s="10">
        <f>M104/CALC!$A$8*CALC!$A$6</f>
        <v>1392.4805052623783</v>
      </c>
      <c r="O104" s="10">
        <f t="shared" si="16"/>
        <v>72688.482727484617</v>
      </c>
      <c r="P104" s="25"/>
      <c r="Q104" s="110">
        <f>(+O104/D104)*(1+CALC!$A$3)</f>
        <v>153.02838468944131</v>
      </c>
    </row>
    <row r="105" spans="1:17" x14ac:dyDescent="0.2">
      <c r="Q105" s="16"/>
    </row>
    <row r="106" spans="1:17" x14ac:dyDescent="0.2">
      <c r="A106" s="8"/>
      <c r="B106" s="8"/>
      <c r="C106" s="14"/>
      <c r="D106" s="6"/>
      <c r="E106" s="22"/>
      <c r="F106" s="9"/>
      <c r="G106" s="9"/>
      <c r="H106" s="9"/>
      <c r="I106" s="9"/>
      <c r="J106" s="9"/>
      <c r="K106" s="9"/>
      <c r="L106" s="9"/>
      <c r="M106" s="9"/>
      <c r="N106" s="10"/>
      <c r="O106" s="9"/>
      <c r="P106" s="23">
        <v>0.36</v>
      </c>
      <c r="Q106" s="16"/>
    </row>
    <row r="107" spans="1:17" s="7" customFormat="1" x14ac:dyDescent="0.2">
      <c r="B107" s="3"/>
      <c r="C107" s="18"/>
      <c r="D107" s="12"/>
      <c r="E107" s="10">
        <f t="shared" ref="E107:M107" si="18">SUM(E106:E106)</f>
        <v>0</v>
      </c>
      <c r="F107" s="10">
        <f t="shared" si="18"/>
        <v>0</v>
      </c>
      <c r="G107" s="10">
        <f t="shared" si="18"/>
        <v>0</v>
      </c>
      <c r="H107" s="10">
        <f t="shared" si="18"/>
        <v>0</v>
      </c>
      <c r="I107" s="10">
        <f t="shared" si="18"/>
        <v>0</v>
      </c>
      <c r="J107" s="10"/>
      <c r="K107" s="10">
        <f t="shared" si="18"/>
        <v>0</v>
      </c>
      <c r="L107" s="10">
        <f t="shared" si="18"/>
        <v>0</v>
      </c>
      <c r="M107" s="10">
        <f t="shared" si="18"/>
        <v>0</v>
      </c>
      <c r="N107" s="10">
        <f>M107/CALC!$A$8*CALC!$A$6</f>
        <v>0</v>
      </c>
      <c r="O107" s="10">
        <f>+M107+N107</f>
        <v>0</v>
      </c>
      <c r="P107" s="25"/>
      <c r="Q107" s="27"/>
    </row>
    <row r="108" spans="1:17" ht="10.8" thickBot="1" x14ac:dyDescent="0.25">
      <c r="Q108" s="16"/>
    </row>
    <row r="109" spans="1:17" ht="10.8" thickBot="1" x14ac:dyDescent="0.25">
      <c r="A109" s="283" t="s">
        <v>10</v>
      </c>
      <c r="B109" s="284" t="s">
        <v>113</v>
      </c>
      <c r="D109" s="556" t="s">
        <v>17</v>
      </c>
      <c r="E109" s="557"/>
      <c r="F109" s="558"/>
      <c r="Q109" s="16"/>
    </row>
    <row r="110" spans="1:17" x14ac:dyDescent="0.2">
      <c r="Q110" s="16"/>
    </row>
    <row r="111" spans="1:17" s="469" customFormat="1" x14ac:dyDescent="0.2">
      <c r="A111" s="462" t="s">
        <v>1509</v>
      </c>
      <c r="B111" s="508" t="s">
        <v>1510</v>
      </c>
      <c r="C111" s="333">
        <v>150</v>
      </c>
      <c r="D111" s="463">
        <v>50</v>
      </c>
      <c r="E111" s="470">
        <f>+D111/P111*(CALC!$A$4)</f>
        <v>3916.666666666667</v>
      </c>
      <c r="F111" s="465">
        <v>3000</v>
      </c>
      <c r="G111" s="28">
        <f>CALC!$A$23*(CEM!I111/CEM!I$148)</f>
        <v>0</v>
      </c>
      <c r="H111" s="465">
        <f>5000*(1+CALC!B$14)</f>
        <v>5400</v>
      </c>
      <c r="I111" s="465"/>
      <c r="J111" s="465"/>
      <c r="K111" s="522">
        <f>390*(1+CALC!B$13)</f>
        <v>436.80000000000007</v>
      </c>
      <c r="L111" s="465"/>
      <c r="M111" s="465">
        <f>SUM(E111:L111)</f>
        <v>12753.466666666667</v>
      </c>
      <c r="N111" s="466">
        <f>M111/CALC!$A$8*CALC!$A$6</f>
        <v>249.08765084042278</v>
      </c>
      <c r="O111" s="465">
        <f>+M111+N111</f>
        <v>13002.554317507091</v>
      </c>
      <c r="P111" s="467">
        <v>0.3</v>
      </c>
      <c r="Q111" s="468"/>
    </row>
    <row r="112" spans="1:17" s="469" customFormat="1" x14ac:dyDescent="0.2">
      <c r="A112" s="462" t="s">
        <v>1521</v>
      </c>
      <c r="B112" s="508" t="s">
        <v>1522</v>
      </c>
      <c r="C112" s="333">
        <v>77</v>
      </c>
      <c r="D112" s="463">
        <v>100</v>
      </c>
      <c r="E112" s="470">
        <f>+D112/P112*(CALC!$A$4)</f>
        <v>11750</v>
      </c>
      <c r="F112" s="465">
        <v>3000</v>
      </c>
      <c r="G112" s="28">
        <f>CALC!$A$23*(CEM!I112/CEM!I$148)</f>
        <v>0</v>
      </c>
      <c r="H112" s="465">
        <f>3100*(1+CALC!B$14)</f>
        <v>3348</v>
      </c>
      <c r="I112" s="465"/>
      <c r="J112" s="465"/>
      <c r="K112" s="522">
        <f>390*(1+CALC!B$13)</f>
        <v>436.80000000000007</v>
      </c>
      <c r="L112" s="465"/>
      <c r="M112" s="465">
        <f>SUM(E112:L112)</f>
        <v>18534.8</v>
      </c>
      <c r="N112" s="466">
        <f>M112/CALC!$A$8*CALC!$A$6</f>
        <v>362.0027331755864</v>
      </c>
      <c r="O112" s="465">
        <f>+M112+N112</f>
        <v>18896.802733175587</v>
      </c>
      <c r="P112" s="467">
        <v>0.2</v>
      </c>
      <c r="Q112" s="468"/>
    </row>
    <row r="113" spans="1:17" s="469" customFormat="1" x14ac:dyDescent="0.2">
      <c r="A113" s="462" t="s">
        <v>1467</v>
      </c>
      <c r="B113" s="508" t="s">
        <v>1468</v>
      </c>
      <c r="C113" s="333">
        <v>81</v>
      </c>
      <c r="D113" s="463">
        <v>110</v>
      </c>
      <c r="E113" s="470">
        <f>+D113/P113*(CALC!$A$4)</f>
        <v>16156.25</v>
      </c>
      <c r="F113" s="465">
        <v>3000</v>
      </c>
      <c r="G113" s="28">
        <f>CALC!$A$23*(CEM!I113/CEM!I$148)</f>
        <v>0</v>
      </c>
      <c r="H113" s="465">
        <f>3100*(1+CALC!B$14)</f>
        <v>3348</v>
      </c>
      <c r="I113" s="465"/>
      <c r="J113" s="465"/>
      <c r="K113" s="522">
        <f>258*(1+CALC!B$13)</f>
        <v>288.96000000000004</v>
      </c>
      <c r="L113" s="465"/>
      <c r="M113" s="465">
        <f>SUM(E113:L113)</f>
        <v>22793.21</v>
      </c>
      <c r="N113" s="466">
        <f>M113/CALC!$A$8*CALC!$A$6</f>
        <v>445.17363650242282</v>
      </c>
      <c r="O113" s="465">
        <f>+M113+N113</f>
        <v>23238.383636502422</v>
      </c>
      <c r="P113" s="467">
        <v>0.16</v>
      </c>
      <c r="Q113" s="468"/>
    </row>
    <row r="114" spans="1:17" s="7" customFormat="1" x14ac:dyDescent="0.2">
      <c r="B114" s="3" t="s">
        <v>14</v>
      </c>
      <c r="C114" s="18"/>
      <c r="D114" s="12">
        <f>SUM(D111:D113)</f>
        <v>260</v>
      </c>
      <c r="E114" s="24">
        <f>SUM(E111:E113)</f>
        <v>31822.916666666668</v>
      </c>
      <c r="F114" s="24">
        <f t="shared" ref="F114:O114" si="19">SUM(F111:F113)</f>
        <v>9000</v>
      </c>
      <c r="G114" s="24">
        <f t="shared" si="19"/>
        <v>0</v>
      </c>
      <c r="H114" s="24">
        <f t="shared" si="19"/>
        <v>12096</v>
      </c>
      <c r="I114" s="24">
        <f t="shared" si="19"/>
        <v>0</v>
      </c>
      <c r="J114" s="24">
        <f t="shared" si="19"/>
        <v>0</v>
      </c>
      <c r="K114" s="24">
        <f t="shared" si="19"/>
        <v>1162.5600000000002</v>
      </c>
      <c r="L114" s="24">
        <f t="shared" si="19"/>
        <v>0</v>
      </c>
      <c r="M114" s="24">
        <f t="shared" si="19"/>
        <v>54081.476666666669</v>
      </c>
      <c r="N114" s="24">
        <f t="shared" si="19"/>
        <v>1056.2640205184321</v>
      </c>
      <c r="O114" s="24">
        <f t="shared" si="19"/>
        <v>55137.740687185098</v>
      </c>
      <c r="P114" s="25"/>
      <c r="Q114" s="110">
        <f>(+O114/D114)*(1+CALC!$A$3)</f>
        <v>212.06823341225038</v>
      </c>
    </row>
    <row r="115" spans="1:17" ht="10.8" thickBot="1" x14ac:dyDescent="0.25">
      <c r="Q115" s="16"/>
    </row>
    <row r="116" spans="1:17" ht="10.8" thickBot="1" x14ac:dyDescent="0.25">
      <c r="A116" s="283" t="s">
        <v>10</v>
      </c>
      <c r="B116" s="284" t="s">
        <v>114</v>
      </c>
      <c r="D116" s="556" t="s">
        <v>38</v>
      </c>
      <c r="E116" s="557"/>
      <c r="F116" s="558"/>
      <c r="Q116" s="16"/>
    </row>
    <row r="117" spans="1:17" x14ac:dyDescent="0.2">
      <c r="Q117" s="16"/>
    </row>
    <row r="118" spans="1:17" s="469" customFormat="1" x14ac:dyDescent="0.2">
      <c r="A118" s="462" t="s">
        <v>1531</v>
      </c>
      <c r="B118" s="508" t="s">
        <v>1532</v>
      </c>
      <c r="C118" s="333">
        <v>86</v>
      </c>
      <c r="D118" s="463"/>
      <c r="E118" s="470"/>
      <c r="F118" s="465"/>
      <c r="G118" s="28">
        <f>CALC!$A$23*(CEM!I118/CEM!I$148)</f>
        <v>0</v>
      </c>
      <c r="H118" s="465">
        <f>1500*(1+CALC!B$14)</f>
        <v>1620</v>
      </c>
      <c r="I118" s="465"/>
      <c r="J118" s="465"/>
      <c r="K118" s="522">
        <f>468*(1+CALC!B$13)</f>
        <v>524.16000000000008</v>
      </c>
      <c r="L118" s="465"/>
      <c r="M118" s="465">
        <f t="shared" ref="M118:M123" si="20">SUM(E118:L118)</f>
        <v>2144.16</v>
      </c>
      <c r="N118" s="466">
        <f>M118/CALC!$A$8*CALC!$A$6</f>
        <v>41.87753740886145</v>
      </c>
      <c r="O118" s="465">
        <f t="shared" ref="O118:O123" si="21">+M118</f>
        <v>2144.16</v>
      </c>
      <c r="P118" s="467"/>
      <c r="Q118" s="468"/>
    </row>
    <row r="119" spans="1:17" s="469" customFormat="1" x14ac:dyDescent="0.2">
      <c r="A119" s="462" t="s">
        <v>16</v>
      </c>
      <c r="B119" s="462" t="s">
        <v>129</v>
      </c>
      <c r="C119" s="333">
        <v>87</v>
      </c>
      <c r="D119" s="463"/>
      <c r="E119" s="470"/>
      <c r="F119" s="465"/>
      <c r="G119" s="28">
        <f>CALC!$A$23*(CEM!I119/CEM!I$148)</f>
        <v>0</v>
      </c>
      <c r="H119" s="465">
        <f>1500*(1+CALC!B$14)</f>
        <v>1620</v>
      </c>
      <c r="I119" s="465"/>
      <c r="J119" s="465"/>
      <c r="K119" s="522">
        <f>468*(1+CALC!B$13)</f>
        <v>524.16000000000008</v>
      </c>
      <c r="L119" s="465"/>
      <c r="M119" s="465">
        <f t="shared" si="20"/>
        <v>2144.16</v>
      </c>
      <c r="N119" s="466">
        <f>M119/CALC!$A$8*CALC!$A$6</f>
        <v>41.87753740886145</v>
      </c>
      <c r="O119" s="465">
        <f t="shared" si="21"/>
        <v>2144.16</v>
      </c>
      <c r="P119" s="467"/>
      <c r="Q119" s="468"/>
    </row>
    <row r="120" spans="1:17" x14ac:dyDescent="0.2">
      <c r="A120" s="8"/>
      <c r="B120" s="8"/>
      <c r="C120" s="14"/>
      <c r="D120" s="6"/>
      <c r="E120" s="22"/>
      <c r="F120" s="9"/>
      <c r="G120" s="28">
        <f>CALC!$A$23*(CEM!I120/CEM!I$148)</f>
        <v>0</v>
      </c>
      <c r="H120" s="9"/>
      <c r="I120" s="9"/>
      <c r="J120" s="9"/>
      <c r="K120" s="9"/>
      <c r="L120" s="9"/>
      <c r="M120" s="9"/>
      <c r="N120" s="10"/>
      <c r="O120" s="9"/>
      <c r="P120" s="23"/>
      <c r="Q120" s="16"/>
    </row>
    <row r="121" spans="1:17" s="469" customFormat="1" x14ac:dyDescent="0.2">
      <c r="A121" s="462" t="s">
        <v>1505</v>
      </c>
      <c r="B121" s="462" t="s">
        <v>1506</v>
      </c>
      <c r="C121" s="333">
        <v>89</v>
      </c>
      <c r="D121" s="463"/>
      <c r="E121" s="470"/>
      <c r="F121" s="465"/>
      <c r="G121" s="28">
        <f>CALC!$A$23*(CEM!I121/CEM!I$148)</f>
        <v>0</v>
      </c>
      <c r="H121" s="465">
        <f>1500*(1+CALC!B$14)</f>
        <v>1620</v>
      </c>
      <c r="I121" s="465"/>
      <c r="J121" s="465"/>
      <c r="K121" s="522">
        <f>468*(1+CALC!B$13)</f>
        <v>524.16000000000008</v>
      </c>
      <c r="L121" s="465"/>
      <c r="M121" s="465">
        <f t="shared" si="20"/>
        <v>2144.16</v>
      </c>
      <c r="N121" s="466">
        <f>M121/CALC!$A$8*CALC!$A$6</f>
        <v>41.87753740886145</v>
      </c>
      <c r="O121" s="465">
        <f t="shared" si="21"/>
        <v>2144.16</v>
      </c>
      <c r="P121" s="467"/>
      <c r="Q121" s="468"/>
    </row>
    <row r="122" spans="1:17" s="469" customFormat="1" x14ac:dyDescent="0.2">
      <c r="A122" s="462" t="s">
        <v>1523</v>
      </c>
      <c r="B122" s="508" t="s">
        <v>1524</v>
      </c>
      <c r="C122" s="333">
        <v>90</v>
      </c>
      <c r="D122" s="463"/>
      <c r="E122" s="470"/>
      <c r="F122" s="465"/>
      <c r="G122" s="28">
        <f>CALC!$A$23*(CEM!I122/CEM!I$148)</f>
        <v>0</v>
      </c>
      <c r="H122" s="465">
        <f>1500*(1+CALC!B$14)</f>
        <v>1620</v>
      </c>
      <c r="I122" s="465"/>
      <c r="J122" s="465"/>
      <c r="K122" s="522">
        <f>468*(1+CALC!B$13)</f>
        <v>524.16000000000008</v>
      </c>
      <c r="L122" s="465"/>
      <c r="M122" s="465">
        <f t="shared" si="20"/>
        <v>2144.16</v>
      </c>
      <c r="N122" s="466">
        <f>M122/CALC!$A$8*CALC!$A$6</f>
        <v>41.87753740886145</v>
      </c>
      <c r="O122" s="465">
        <f t="shared" si="21"/>
        <v>2144.16</v>
      </c>
      <c r="P122" s="467"/>
      <c r="Q122" s="468"/>
    </row>
    <row r="123" spans="1:17" s="469" customFormat="1" x14ac:dyDescent="0.2">
      <c r="A123" s="462" t="s">
        <v>1525</v>
      </c>
      <c r="B123" s="462" t="s">
        <v>1526</v>
      </c>
      <c r="C123" s="333">
        <v>91</v>
      </c>
      <c r="D123" s="463"/>
      <c r="E123" s="470"/>
      <c r="F123" s="465"/>
      <c r="G123" s="28">
        <f>CALC!$A$23*(CEM!I123/CEM!I$148)</f>
        <v>0</v>
      </c>
      <c r="H123" s="465">
        <f>1500*(1+CALC!B$14)</f>
        <v>1620</v>
      </c>
      <c r="I123" s="465"/>
      <c r="J123" s="465"/>
      <c r="K123" s="522">
        <f>468*(1+CALC!B$13)</f>
        <v>524.16000000000008</v>
      </c>
      <c r="L123" s="465"/>
      <c r="M123" s="465">
        <f t="shared" si="20"/>
        <v>2144.16</v>
      </c>
      <c r="N123" s="466">
        <f>M123/CALC!$A$8*CALC!$A$6</f>
        <v>41.87753740886145</v>
      </c>
      <c r="O123" s="465">
        <f t="shared" si="21"/>
        <v>2144.16</v>
      </c>
      <c r="P123" s="467"/>
      <c r="Q123" s="468"/>
    </row>
    <row r="124" spans="1:17" s="7" customFormat="1" x14ac:dyDescent="0.2">
      <c r="B124" s="3" t="s">
        <v>14</v>
      </c>
      <c r="C124" s="18"/>
      <c r="D124" s="12">
        <f t="shared" ref="D124:K124" si="22">SUM(D118:D123)</f>
        <v>0</v>
      </c>
      <c r="E124" s="10">
        <f t="shared" si="22"/>
        <v>0</v>
      </c>
      <c r="F124" s="10">
        <f t="shared" si="22"/>
        <v>0</v>
      </c>
      <c r="G124" s="10">
        <f t="shared" si="22"/>
        <v>0</v>
      </c>
      <c r="H124" s="10">
        <f t="shared" si="22"/>
        <v>8100</v>
      </c>
      <c r="I124" s="10">
        <f t="shared" si="22"/>
        <v>0</v>
      </c>
      <c r="J124" s="10"/>
      <c r="K124" s="10">
        <f t="shared" si="22"/>
        <v>2620.8000000000002</v>
      </c>
      <c r="L124" s="10">
        <f>SUM(L118:L123)</f>
        <v>0</v>
      </c>
      <c r="M124" s="10">
        <f>SUM(M118:M123)</f>
        <v>10720.8</v>
      </c>
      <c r="N124" s="10">
        <f>M124/CALC!$A$8*CALC!$A$6</f>
        <v>209.38768704430723</v>
      </c>
      <c r="O124" s="10">
        <f>+M124+N124</f>
        <v>10930.187687044307</v>
      </c>
      <c r="P124" s="25"/>
      <c r="Q124" s="27"/>
    </row>
    <row r="125" spans="1:17" s="7" customFormat="1" ht="10.8" thickBot="1" x14ac:dyDescent="0.25">
      <c r="C125" s="29"/>
      <c r="D125" s="30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27"/>
    </row>
    <row r="126" spans="1:17" s="7" customFormat="1" ht="10.8" thickBot="1" x14ac:dyDescent="0.25">
      <c r="A126" s="32" t="s">
        <v>39</v>
      </c>
      <c r="B126" s="57" t="s">
        <v>14</v>
      </c>
      <c r="C126" s="58"/>
      <c r="D126" s="59">
        <f>+D16+D20+D21+D27+D28+D30+D35+D40+D46+D47+D58+D64+D70+D76+D84+D104+D114</f>
        <v>249535</v>
      </c>
      <c r="E126" s="247">
        <f>+E16+E20+E21+E27+E28+E30+E35+E40+E46+E47+E58+E64+E70+E76+E84+E104+E114</f>
        <v>3675859.4855021215</v>
      </c>
      <c r="F126" s="247">
        <f t="shared" ref="F126:O126" si="23">+F16+F20+F21+F27+F28+F30+F35+F40+F46+F47+F58+F64+F70+F76+F84+F104+F114+F124</f>
        <v>640800</v>
      </c>
      <c r="G126" s="247">
        <f t="shared" si="23"/>
        <v>348609.0394069184</v>
      </c>
      <c r="H126" s="247">
        <f t="shared" si="23"/>
        <v>2686709.52</v>
      </c>
      <c r="I126" s="247">
        <f t="shared" si="23"/>
        <v>1884656.8824999998</v>
      </c>
      <c r="J126" s="247">
        <f t="shared" si="23"/>
        <v>0</v>
      </c>
      <c r="K126" s="247">
        <f t="shared" si="23"/>
        <v>123876.48</v>
      </c>
      <c r="L126" s="247">
        <f t="shared" si="23"/>
        <v>0</v>
      </c>
      <c r="M126" s="247">
        <f t="shared" si="23"/>
        <v>8113039.4074090403</v>
      </c>
      <c r="N126" s="247">
        <f t="shared" si="23"/>
        <v>158455.57760770613</v>
      </c>
      <c r="O126" s="247">
        <f t="shared" si="23"/>
        <v>8271494.9850167455</v>
      </c>
      <c r="P126" s="16"/>
      <c r="Q126" s="16"/>
    </row>
    <row r="127" spans="1:17" s="7" customFormat="1" ht="10.8" thickBot="1" x14ac:dyDescent="0.25">
      <c r="C127" s="29"/>
      <c r="D127" s="30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27"/>
    </row>
    <row r="128" spans="1:17" ht="10.8" thickBot="1" x14ac:dyDescent="0.25">
      <c r="A128" s="283" t="s">
        <v>10</v>
      </c>
      <c r="B128" s="284" t="s">
        <v>115</v>
      </c>
      <c r="D128" s="556" t="s">
        <v>16</v>
      </c>
      <c r="E128" s="557"/>
      <c r="F128" s="558"/>
      <c r="Q128" s="16"/>
    </row>
    <row r="129" spans="1:20" x14ac:dyDescent="0.2">
      <c r="Q129" s="16"/>
    </row>
    <row r="130" spans="1:20" s="469" customFormat="1" x14ac:dyDescent="0.2">
      <c r="A130" s="462" t="s">
        <v>71</v>
      </c>
      <c r="B130" s="462" t="s">
        <v>88</v>
      </c>
      <c r="C130" s="333">
        <v>100</v>
      </c>
      <c r="D130" s="463">
        <v>100</v>
      </c>
      <c r="E130" s="470">
        <f>+D130/P130*(CALC!$A$4)</f>
        <v>783.33333333333337</v>
      </c>
      <c r="F130" s="465"/>
      <c r="G130" s="28">
        <f>CALC!$A$23*(CEM!I130/CEM!I$148)</f>
        <v>0</v>
      </c>
      <c r="H130" s="465">
        <f>8000*(1+CALC!B$14)</f>
        <v>8640</v>
      </c>
      <c r="I130" s="465">
        <v>0</v>
      </c>
      <c r="J130" s="465"/>
      <c r="K130" s="465">
        <f>468*(1+CALC!B$13)</f>
        <v>524.16000000000008</v>
      </c>
      <c r="L130" s="465">
        <v>0</v>
      </c>
      <c r="M130" s="465">
        <f>SUM(E130:L130)</f>
        <v>9947.4933333333338</v>
      </c>
      <c r="N130" s="466">
        <f>M130/CALC!$A$8*CALC!$A$6</f>
        <v>194.28425312992809</v>
      </c>
      <c r="O130" s="465">
        <f>+M130+N130</f>
        <v>10141.777586463262</v>
      </c>
      <c r="P130" s="467">
        <v>3</v>
      </c>
      <c r="Q130" s="468"/>
    </row>
    <row r="131" spans="1:20" s="7" customFormat="1" x14ac:dyDescent="0.2">
      <c r="B131" s="3" t="s">
        <v>14</v>
      </c>
      <c r="C131" s="18"/>
      <c r="D131" s="12">
        <f t="shared" ref="D131:I131" si="24">SUM(D130:D130)</f>
        <v>100</v>
      </c>
      <c r="E131" s="10">
        <f t="shared" si="24"/>
        <v>783.33333333333337</v>
      </c>
      <c r="F131" s="10">
        <f t="shared" si="24"/>
        <v>0</v>
      </c>
      <c r="G131" s="10">
        <f t="shared" si="24"/>
        <v>0</v>
      </c>
      <c r="H131" s="10">
        <f t="shared" si="24"/>
        <v>8640</v>
      </c>
      <c r="I131" s="10">
        <f t="shared" si="24"/>
        <v>0</v>
      </c>
      <c r="J131" s="10"/>
      <c r="K131" s="10">
        <f>SUM(K130:K130)</f>
        <v>524.16000000000008</v>
      </c>
      <c r="L131" s="10">
        <f>SUM(L130:L130)</f>
        <v>0</v>
      </c>
      <c r="M131" s="10">
        <f>SUM(M130:M130)</f>
        <v>9947.4933333333338</v>
      </c>
      <c r="N131" s="10">
        <f>M131/CALC!$A$8*CALC!$A$6</f>
        <v>194.28425312992809</v>
      </c>
      <c r="O131" s="10">
        <f>+M131+N131</f>
        <v>10141.777586463262</v>
      </c>
      <c r="P131" s="25"/>
      <c r="Q131" s="110">
        <f>(+O131/D131)*(1+CALC!$A$3)</f>
        <v>101.41777586463262</v>
      </c>
    </row>
    <row r="132" spans="1:20" s="7" customFormat="1" ht="10.8" thickBot="1" x14ac:dyDescent="0.25">
      <c r="C132" s="29"/>
      <c r="D132" s="30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27"/>
    </row>
    <row r="133" spans="1:20" s="7" customFormat="1" ht="10.8" thickBot="1" x14ac:dyDescent="0.25">
      <c r="A133" s="32" t="s">
        <v>40</v>
      </c>
      <c r="B133" s="57" t="s">
        <v>14</v>
      </c>
      <c r="C133" s="58"/>
      <c r="D133" s="59">
        <f t="shared" ref="D133:O133" si="25">+D9+D22+D29+D131</f>
        <v>58100</v>
      </c>
      <c r="E133" s="247">
        <f t="shared" si="25"/>
        <v>270693.59248946956</v>
      </c>
      <c r="F133" s="247">
        <f t="shared" si="25"/>
        <v>93600</v>
      </c>
      <c r="G133" s="247">
        <f t="shared" si="25"/>
        <v>12111.937073079482</v>
      </c>
      <c r="H133" s="247">
        <f t="shared" si="25"/>
        <v>170640</v>
      </c>
      <c r="I133" s="247">
        <f t="shared" si="25"/>
        <v>82090.94</v>
      </c>
      <c r="J133" s="247">
        <f t="shared" si="25"/>
        <v>0</v>
      </c>
      <c r="K133" s="247">
        <f t="shared" si="25"/>
        <v>5449.92</v>
      </c>
      <c r="L133" s="247">
        <f t="shared" si="25"/>
        <v>0</v>
      </c>
      <c r="M133" s="247">
        <f t="shared" si="25"/>
        <v>634586.38956254895</v>
      </c>
      <c r="N133" s="247">
        <f t="shared" si="25"/>
        <v>12394.091517452043</v>
      </c>
      <c r="O133" s="247">
        <f t="shared" si="25"/>
        <v>646980.4810800011</v>
      </c>
      <c r="P133" s="16"/>
      <c r="Q133" s="247">
        <f>+Q9+Q22+Q29+Q131</f>
        <v>109.10472680512692</v>
      </c>
    </row>
    <row r="134" spans="1:20" ht="10.8" thickBot="1" x14ac:dyDescent="0.25">
      <c r="Q134" s="16"/>
    </row>
    <row r="135" spans="1:20" s="7" customFormat="1" ht="10.8" thickBot="1" x14ac:dyDescent="0.25">
      <c r="A135" s="7" t="s">
        <v>21</v>
      </c>
      <c r="B135" s="57" t="s">
        <v>14</v>
      </c>
      <c r="C135" s="58"/>
      <c r="D135" s="59">
        <f t="shared" ref="D135:N135" si="26">+D126+D133</f>
        <v>307635</v>
      </c>
      <c r="E135" s="247">
        <f t="shared" si="26"/>
        <v>3946553.0779915908</v>
      </c>
      <c r="F135" s="247">
        <f t="shared" si="26"/>
        <v>734400</v>
      </c>
      <c r="G135" s="247">
        <f t="shared" si="26"/>
        <v>360720.97647999786</v>
      </c>
      <c r="H135" s="247">
        <f t="shared" si="26"/>
        <v>2857349.52</v>
      </c>
      <c r="I135" s="247">
        <f t="shared" si="26"/>
        <v>1966747.8224999998</v>
      </c>
      <c r="J135" s="247">
        <f t="shared" si="26"/>
        <v>0</v>
      </c>
      <c r="K135" s="247">
        <f t="shared" si="26"/>
        <v>129326.39999999999</v>
      </c>
      <c r="L135" s="247">
        <f t="shared" si="26"/>
        <v>0</v>
      </c>
      <c r="M135" s="247">
        <f t="shared" si="26"/>
        <v>8747625.7969715893</v>
      </c>
      <c r="N135" s="247">
        <f t="shared" si="26"/>
        <v>170849.66912515817</v>
      </c>
      <c r="O135" s="247">
        <f>+M135+N135</f>
        <v>8918475.4660967477</v>
      </c>
      <c r="P135" s="16"/>
      <c r="Q135" s="16"/>
    </row>
    <row r="136" spans="1:20" x14ac:dyDescent="0.2">
      <c r="Q136" s="16"/>
    </row>
    <row r="137" spans="1:20" x14ac:dyDescent="0.2">
      <c r="D137" s="66"/>
      <c r="E137" s="456" t="s">
        <v>77</v>
      </c>
      <c r="F137" s="456"/>
      <c r="G137" s="456" t="s">
        <v>78</v>
      </c>
      <c r="H137" s="456" t="s">
        <v>79</v>
      </c>
      <c r="I137" s="456" t="s">
        <v>80</v>
      </c>
      <c r="J137" s="456" t="s">
        <v>83</v>
      </c>
      <c r="K137" s="456" t="s">
        <v>81</v>
      </c>
      <c r="L137" s="456" t="s">
        <v>1440</v>
      </c>
      <c r="M137" s="456"/>
      <c r="N137" s="456" t="s">
        <v>82</v>
      </c>
      <c r="O137" s="456" t="s">
        <v>1448</v>
      </c>
      <c r="P137" s="17"/>
      <c r="Q137" s="34"/>
    </row>
    <row r="138" spans="1:20" x14ac:dyDescent="0.2">
      <c r="A138" s="69" t="s">
        <v>18</v>
      </c>
      <c r="B138" s="68"/>
      <c r="C138" s="70"/>
      <c r="D138" s="64" t="s">
        <v>3</v>
      </c>
      <c r="E138" s="3" t="s">
        <v>4</v>
      </c>
      <c r="F138" s="3" t="str">
        <f>+F3</f>
        <v>TRACKING DEVICE</v>
      </c>
      <c r="G138" s="3" t="s">
        <v>5</v>
      </c>
      <c r="H138" s="3" t="s">
        <v>6</v>
      </c>
      <c r="I138" s="3" t="s">
        <v>7</v>
      </c>
      <c r="J138" s="3" t="s">
        <v>8</v>
      </c>
      <c r="K138" s="3" t="s">
        <v>9</v>
      </c>
      <c r="L138" s="3" t="str">
        <f>+L3</f>
        <v>INTEREST</v>
      </c>
      <c r="M138" s="3" t="s">
        <v>12</v>
      </c>
      <c r="N138" s="3" t="s">
        <v>13</v>
      </c>
      <c r="O138" s="3" t="s">
        <v>14</v>
      </c>
      <c r="Q138" s="16"/>
    </row>
    <row r="139" spans="1:20" x14ac:dyDescent="0.2">
      <c r="A139" s="68" t="s">
        <v>1337</v>
      </c>
      <c r="B139" s="68"/>
      <c r="C139" s="70"/>
      <c r="D139" s="67">
        <f>+mayor!D43</f>
        <v>124000</v>
      </c>
      <c r="E139" s="457">
        <f>+mayor!E43</f>
        <v>340051.39753001358</v>
      </c>
      <c r="F139" s="457">
        <f>+mayor!F43</f>
        <v>161040.00000000003</v>
      </c>
      <c r="G139" s="457">
        <f>+mayor!G43</f>
        <v>26203.345384243607</v>
      </c>
      <c r="H139" s="457">
        <f>+mayor!H43</f>
        <v>326160</v>
      </c>
      <c r="I139" s="457">
        <f>+mayor!I43</f>
        <v>162219.60999999999</v>
      </c>
      <c r="J139" s="457">
        <f>+mayor!J43</f>
        <v>0</v>
      </c>
      <c r="K139" s="457">
        <f>+mayor!K43</f>
        <v>8844.7200000000012</v>
      </c>
      <c r="L139" s="457">
        <f>+mayor!L43</f>
        <v>0</v>
      </c>
      <c r="M139" s="457">
        <f>SUM(E139:L139)</f>
        <v>1024519.0729142572</v>
      </c>
      <c r="N139" s="457">
        <f>+mayor!N45</f>
        <v>14205.427294976154</v>
      </c>
      <c r="O139" s="457">
        <f>+M139+N139</f>
        <v>1038724.5002092334</v>
      </c>
      <c r="Q139" s="16"/>
    </row>
    <row r="140" spans="1:20" x14ac:dyDescent="0.2">
      <c r="A140" s="68" t="s">
        <v>34</v>
      </c>
      <c r="B140" s="68"/>
      <c r="C140" s="70"/>
      <c r="D140" s="67">
        <f>+income!D18</f>
        <v>20000</v>
      </c>
      <c r="E140" s="458">
        <f>+income!E16</f>
        <v>77511.244377811105</v>
      </c>
      <c r="F140" s="458">
        <f>+income!F16</f>
        <v>51480.000000000007</v>
      </c>
      <c r="G140" s="458">
        <f>+income!G16</f>
        <v>3295.1085135490007</v>
      </c>
      <c r="H140" s="458">
        <f>+income!H16</f>
        <v>75600</v>
      </c>
      <c r="I140" s="458">
        <f>+income!I16</f>
        <v>11166.61</v>
      </c>
      <c r="J140" s="458">
        <f>+income!J16</f>
        <v>0</v>
      </c>
      <c r="K140" s="458">
        <f>+income!K16</f>
        <v>1518.7200000000003</v>
      </c>
      <c r="L140" s="458">
        <f>+income!L16</f>
        <v>0</v>
      </c>
      <c r="M140" s="457">
        <f t="shared" ref="M140:M146" si="27">SUM(E140:L140)</f>
        <v>220571.68289136011</v>
      </c>
      <c r="N140" s="458">
        <f>+income!N15</f>
        <v>5697.9335843198796</v>
      </c>
      <c r="O140" s="457">
        <f t="shared" ref="O140:O146" si="28">+M140+N140</f>
        <v>226269.61647568</v>
      </c>
      <c r="Q140" s="16"/>
    </row>
    <row r="141" spans="1:20" x14ac:dyDescent="0.2">
      <c r="A141" s="68" t="s">
        <v>35</v>
      </c>
      <c r="B141" s="68"/>
      <c r="C141" s="70"/>
      <c r="D141" s="67">
        <f>+workshop!D22</f>
        <v>17300</v>
      </c>
      <c r="E141" s="458">
        <f>+workshop!E19</f>
        <v>68463.273122322091</v>
      </c>
      <c r="F141" s="458">
        <f>+workshop!F19</f>
        <v>9000</v>
      </c>
      <c r="G141" s="458">
        <f>+workshop!G19</f>
        <v>7731.5603745868793</v>
      </c>
      <c r="H141" s="458">
        <f>+workshop!H19</f>
        <v>118800</v>
      </c>
      <c r="I141" s="458">
        <f>+workshop!I19</f>
        <v>52402.11</v>
      </c>
      <c r="J141" s="458">
        <f>+workshop!J19</f>
        <v>0</v>
      </c>
      <c r="K141" s="458">
        <f>+workshop!K19</f>
        <v>2278.0800000000004</v>
      </c>
      <c r="L141" s="458">
        <f>+workshop!L19</f>
        <v>0</v>
      </c>
      <c r="M141" s="457">
        <f t="shared" si="27"/>
        <v>258675.02349690898</v>
      </c>
      <c r="N141" s="458">
        <f>+workshop!N19</f>
        <v>5052.1756647031561</v>
      </c>
      <c r="O141" s="457">
        <f t="shared" si="28"/>
        <v>263727.19916161214</v>
      </c>
      <c r="Q141" s="16"/>
    </row>
    <row r="142" spans="1:20" x14ac:dyDescent="0.2">
      <c r="A142" s="68" t="s">
        <v>30</v>
      </c>
      <c r="B142" s="68"/>
      <c r="C142" s="70"/>
      <c r="D142" s="67">
        <f>+'COMMUNITY SERV'!D109</f>
        <v>775400</v>
      </c>
      <c r="E142" s="458">
        <f>+'COMMUNITY SERV'!E109</f>
        <v>5519659.4648144701</v>
      </c>
      <c r="F142" s="458">
        <f>+'COMMUNITY SERV'!F109</f>
        <v>649800</v>
      </c>
      <c r="G142" s="458">
        <f>+'COMMUNITY SERV'!G109</f>
        <v>118813.8724248053</v>
      </c>
      <c r="H142" s="458">
        <f>+'COMMUNITY SERV'!H109</f>
        <v>1679125.6800000002</v>
      </c>
      <c r="I142" s="458">
        <f>+'COMMUNITY SERV'!I109</f>
        <v>805283.45</v>
      </c>
      <c r="J142" s="458">
        <f>+'COMMUNITY SERV'!J109</f>
        <v>0</v>
      </c>
      <c r="K142" s="458">
        <f>+'COMMUNITY SERV'!K109</f>
        <v>281331.60000000003</v>
      </c>
      <c r="L142" s="458">
        <f>+'COMMUNITY SERV'!L109</f>
        <v>0</v>
      </c>
      <c r="M142" s="457">
        <f t="shared" si="27"/>
        <v>9054014.0672392752</v>
      </c>
      <c r="N142" s="458">
        <f>+'COMMUNITY SERV'!N106</f>
        <v>162854.91495729421</v>
      </c>
      <c r="O142" s="457">
        <f t="shared" si="28"/>
        <v>9216868.9821965694</v>
      </c>
      <c r="Q142" s="16"/>
    </row>
    <row r="143" spans="1:20" hidden="1" x14ac:dyDescent="0.2">
      <c r="A143" s="68" t="s">
        <v>189</v>
      </c>
      <c r="B143" s="68"/>
      <c r="C143" s="70"/>
      <c r="D143" s="67"/>
      <c r="E143" s="458"/>
      <c r="F143" s="458"/>
      <c r="G143" s="458"/>
      <c r="H143" s="458"/>
      <c r="I143" s="458"/>
      <c r="J143" s="458"/>
      <c r="K143" s="458"/>
      <c r="L143" s="458"/>
      <c r="M143" s="457">
        <f t="shared" si="27"/>
        <v>0</v>
      </c>
      <c r="N143" s="458"/>
      <c r="O143" s="457">
        <f t="shared" si="28"/>
        <v>0</v>
      </c>
      <c r="Q143" s="16"/>
    </row>
    <row r="144" spans="1:20" x14ac:dyDescent="0.2">
      <c r="A144" s="68" t="s">
        <v>20</v>
      </c>
      <c r="B144" s="68"/>
      <c r="C144" s="70"/>
      <c r="D144" s="67">
        <f>+EEM!D111</f>
        <v>635835</v>
      </c>
      <c r="E144" s="458">
        <f>+EEM!E111</f>
        <v>3968593.4023742969</v>
      </c>
      <c r="F144" s="458">
        <f>EEM!F108</f>
        <v>848400</v>
      </c>
      <c r="G144" s="458">
        <f>+EEM!G111</f>
        <v>148962.14767030691</v>
      </c>
      <c r="H144" s="458">
        <f>+EEM!H111</f>
        <v>1603160</v>
      </c>
      <c r="I144" s="458">
        <f>+EEM!I111</f>
        <v>1008771.47</v>
      </c>
      <c r="J144" s="458">
        <f>+EEM!J111</f>
        <v>6000000</v>
      </c>
      <c r="K144" s="458">
        <f>+EEM!K111</f>
        <v>136456.96000000002</v>
      </c>
      <c r="L144" s="458">
        <f>+EEM!L111</f>
        <v>0</v>
      </c>
      <c r="M144" s="457">
        <f t="shared" si="27"/>
        <v>13714343.980044605</v>
      </c>
      <c r="N144" s="458">
        <f>+EEM!N108</f>
        <v>268297.35610634356</v>
      </c>
      <c r="O144" s="457">
        <f t="shared" si="28"/>
        <v>13982641.336150948</v>
      </c>
      <c r="Q144" s="16"/>
      <c r="S144" s="2">
        <f>EEM!O108</f>
        <v>14005314.732568592</v>
      </c>
      <c r="T144" s="20">
        <f>O144-S144</f>
        <v>-22673.396417643875</v>
      </c>
    </row>
    <row r="145" spans="1:22" x14ac:dyDescent="0.2">
      <c r="A145" s="68" t="s">
        <v>21</v>
      </c>
      <c r="B145" s="68"/>
      <c r="C145" s="70"/>
      <c r="D145" s="67">
        <f>+D153</f>
        <v>307635</v>
      </c>
      <c r="E145" s="458">
        <f>+E153</f>
        <v>3946553.0779915913</v>
      </c>
      <c r="F145" s="458">
        <f t="shared" ref="F145:L145" si="29">+F153</f>
        <v>734400</v>
      </c>
      <c r="G145" s="458">
        <f t="shared" si="29"/>
        <v>357794.8264034437</v>
      </c>
      <c r="H145" s="458">
        <f>H135</f>
        <v>2857349.52</v>
      </c>
      <c r="I145" s="458">
        <f t="shared" si="29"/>
        <v>1966747.8224999998</v>
      </c>
      <c r="J145" s="458">
        <f t="shared" si="29"/>
        <v>0</v>
      </c>
      <c r="K145" s="458">
        <f t="shared" si="29"/>
        <v>129326.40000000001</v>
      </c>
      <c r="L145" s="458">
        <f t="shared" si="29"/>
        <v>0</v>
      </c>
      <c r="M145" s="457">
        <f t="shared" si="27"/>
        <v>9992171.6468950361</v>
      </c>
      <c r="N145" s="458">
        <f t="shared" ref="N145" si="30">+N135</f>
        <v>170849.66912515817</v>
      </c>
      <c r="O145" s="457">
        <f t="shared" si="28"/>
        <v>10163021.316020194</v>
      </c>
      <c r="Q145" s="16"/>
    </row>
    <row r="146" spans="1:22" ht="11.4" x14ac:dyDescent="0.25">
      <c r="A146" s="68" t="s">
        <v>22</v>
      </c>
      <c r="B146" s="68"/>
      <c r="C146" s="70"/>
      <c r="D146" s="67">
        <f>+MDC!D102</f>
        <v>416100</v>
      </c>
      <c r="E146" s="458">
        <f>+MDC!E102</f>
        <v>4528940.3730024882</v>
      </c>
      <c r="F146" s="458">
        <f>+MDC!F102</f>
        <v>427200</v>
      </c>
      <c r="G146" s="458">
        <f>+MDC!G102</f>
        <v>66698.881774853187</v>
      </c>
      <c r="H146" s="458">
        <f>+MDC!H102</f>
        <v>1144800</v>
      </c>
      <c r="I146" s="458">
        <f>+MDC!I102</f>
        <v>465666.86874999997</v>
      </c>
      <c r="J146" s="458">
        <f>+MDC!J102</f>
        <v>0</v>
      </c>
      <c r="K146" s="458">
        <f>+MDC!K102</f>
        <v>62973.12000000001</v>
      </c>
      <c r="L146" s="458">
        <f>+MDC!L102</f>
        <v>0</v>
      </c>
      <c r="M146" s="457">
        <f t="shared" si="27"/>
        <v>6696279.2435273416</v>
      </c>
      <c r="N146" s="458">
        <f>+MDC!N96</f>
        <v>98317.198443283778</v>
      </c>
      <c r="O146" s="457">
        <f t="shared" si="28"/>
        <v>6794596.441970625</v>
      </c>
      <c r="Q146" s="246"/>
    </row>
    <row r="147" spans="1:22" x14ac:dyDescent="0.2">
      <c r="A147" s="68"/>
      <c r="B147" s="68"/>
      <c r="C147" s="70"/>
      <c r="D147" s="67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Q147" s="16"/>
    </row>
    <row r="148" spans="1:22" s="7" customFormat="1" x14ac:dyDescent="0.2">
      <c r="A148" s="62" t="s">
        <v>23</v>
      </c>
      <c r="B148" s="62"/>
      <c r="C148" s="63"/>
      <c r="D148" s="64">
        <f>SUM(D139:D147)</f>
        <v>2296270</v>
      </c>
      <c r="E148" s="534">
        <f t="shared" ref="E148:L148" si="31">SUM(E139:E147)</f>
        <v>18449772.233212993</v>
      </c>
      <c r="F148" s="459">
        <f>SUM(F139:F147)</f>
        <v>2881320</v>
      </c>
      <c r="G148" s="459">
        <f t="shared" si="31"/>
        <v>729499.74254578864</v>
      </c>
      <c r="H148" s="534">
        <f t="shared" si="31"/>
        <v>7804995.2000000002</v>
      </c>
      <c r="I148" s="459">
        <f t="shared" si="31"/>
        <v>4472257.9412500001</v>
      </c>
      <c r="J148" s="534">
        <f t="shared" si="31"/>
        <v>6000000</v>
      </c>
      <c r="K148" s="534">
        <f t="shared" si="31"/>
        <v>622729.60000000009</v>
      </c>
      <c r="L148" s="459">
        <f t="shared" si="31"/>
        <v>0</v>
      </c>
      <c r="M148" s="459">
        <f>SUM(M139:M147)</f>
        <v>40960574.717008784</v>
      </c>
      <c r="N148" s="459">
        <f>SUM(N139:N147)</f>
        <v>725274.67517607892</v>
      </c>
      <c r="O148" s="459">
        <f>SUM(O139:O147)</f>
        <v>41685849.392184861</v>
      </c>
      <c r="P148" s="35"/>
      <c r="Q148" s="26"/>
      <c r="R148" s="535">
        <f>O148-L148-I148-G148</f>
        <v>36484091.708389066</v>
      </c>
    </row>
    <row r="149" spans="1:22" s="11" customFormat="1" x14ac:dyDescent="0.2">
      <c r="C149" s="21"/>
      <c r="D149" s="21"/>
      <c r="Q149" s="16"/>
    </row>
    <row r="150" spans="1:22" s="35" customFormat="1" x14ac:dyDescent="0.2">
      <c r="C150" s="80"/>
      <c r="D150" s="80"/>
      <c r="K150" s="35">
        <f>E148+F148+H148+K148+J148+N148</f>
        <v>36484091.708389066</v>
      </c>
      <c r="M150" s="87">
        <f>12465019.09*1.06</f>
        <v>13212920.235400001</v>
      </c>
      <c r="O150" s="35">
        <f>+N148+M150</f>
        <v>13938194.910576079</v>
      </c>
      <c r="Q150" s="26"/>
      <c r="S150" s="35">
        <v>20913644.23</v>
      </c>
      <c r="T150" s="35">
        <f>S150*1.06</f>
        <v>22168462.8838</v>
      </c>
      <c r="U150" s="35">
        <f>SUM(O139:O145)</f>
        <v>34891252.950214237</v>
      </c>
      <c r="V150" s="35">
        <f>U150-T150</f>
        <v>12722790.066414237</v>
      </c>
    </row>
    <row r="151" spans="1:22" ht="10.8" thickBot="1" x14ac:dyDescent="0.25">
      <c r="M151" s="11">
        <f>+M150-M148</f>
        <v>-27747654.481608786</v>
      </c>
      <c r="O151" s="11" t="e">
        <f>BUDGET!B76</f>
        <v>#DIV/0!</v>
      </c>
      <c r="P151" s="11" t="e">
        <f>O151-O148</f>
        <v>#DIV/0!</v>
      </c>
      <c r="Q151" s="16"/>
      <c r="S151" s="20">
        <v>3922777.91</v>
      </c>
      <c r="T151" s="35">
        <f t="shared" ref="T151:T152" si="32">S151*1.06</f>
        <v>4158144.5846000002</v>
      </c>
      <c r="U151" s="48">
        <f>SUM(O146)</f>
        <v>6794596.441970625</v>
      </c>
      <c r="V151" s="20">
        <f>U151-T151</f>
        <v>2636451.8573706248</v>
      </c>
    </row>
    <row r="152" spans="1:22" ht="10.8" thickBot="1" x14ac:dyDescent="0.25">
      <c r="E152" s="20"/>
      <c r="H152" s="48"/>
      <c r="M152" s="357">
        <f>+O158</f>
        <v>25184155.907000002</v>
      </c>
      <c r="N152" s="45"/>
      <c r="O152" s="11">
        <f>+M152+N148</f>
        <v>25909430.582176082</v>
      </c>
      <c r="Q152" s="16"/>
      <c r="S152" s="48">
        <f>SUM(S150:S151)</f>
        <v>24836422.140000001</v>
      </c>
      <c r="T152" s="35">
        <f t="shared" si="32"/>
        <v>26326607.468400002</v>
      </c>
    </row>
    <row r="153" spans="1:22" x14ac:dyDescent="0.2">
      <c r="D153" s="13">
        <f>+D9+D16+D23+D31+D36+D41+D48+D58+D64+D70+D76+D84+D104+D114+D124+D131</f>
        <v>307635</v>
      </c>
      <c r="E153" s="13">
        <f>+E9+E16+E23+E31+E36+E41+E48+E58+E64+E70+E76+E84+E104+E114+E124+E131</f>
        <v>3946553.0779915913</v>
      </c>
      <c r="F153" s="13">
        <f>+F9+F16+F23+F31+F36+F41+F48+F58+F64+F70+F76+F84+F104+F114+F124+F131</f>
        <v>734400</v>
      </c>
      <c r="G153" s="353">
        <f>+G9+G16+G23+G31+G36+G41+G48+G58+G64+G70+G76+G84+G104+G114+G124+G131</f>
        <v>357794.8264034437</v>
      </c>
      <c r="H153" s="353">
        <f>+H9+H16+H23+H31+H36+H41+H48+H58+H64+H70+H76+H84+H104+H114+H124+H131</f>
        <v>2770249.52</v>
      </c>
      <c r="I153" s="353">
        <f>+I9+I16+I23+I31+I36+I41+I48+I58+I64+I70+I76+I84</f>
        <v>1966747.8224999998</v>
      </c>
      <c r="J153" s="13">
        <f>+J9+J16+J23+J31+J36+J41+J48+J58+J64+J70+J76+J84+J104+J114+J124+J131</f>
        <v>0</v>
      </c>
      <c r="K153" s="13">
        <f>+K9+K16+K23+K31+K36+K41+K48+K58+K64+K70+K76+K84+K104+K114+K124+K131</f>
        <v>129326.40000000001</v>
      </c>
      <c r="L153" s="13">
        <f>+L9+L16+L23+L31+L36+L41+L48+L58+L64+L70+L76+L84+L104+L114+L124+L131</f>
        <v>0</v>
      </c>
      <c r="M153" s="11"/>
      <c r="O153" s="11"/>
      <c r="Q153" s="16"/>
    </row>
    <row r="154" spans="1:22" x14ac:dyDescent="0.2">
      <c r="D154" s="13">
        <f>+D135-D153</f>
        <v>0</v>
      </c>
      <c r="E154" s="13">
        <f t="shared" ref="E154:L154" si="33">+E135-E153</f>
        <v>0</v>
      </c>
      <c r="F154" s="13">
        <f t="shared" si="33"/>
        <v>0</v>
      </c>
      <c r="G154" s="13">
        <f t="shared" si="33"/>
        <v>2926.1500765541568</v>
      </c>
      <c r="H154" s="13">
        <f t="shared" si="33"/>
        <v>87100</v>
      </c>
      <c r="I154" s="13">
        <f>+I135-I153</f>
        <v>0</v>
      </c>
      <c r="J154" s="13">
        <f t="shared" si="33"/>
        <v>0</v>
      </c>
      <c r="K154" s="13">
        <f t="shared" si="33"/>
        <v>0</v>
      </c>
      <c r="L154" s="13">
        <f t="shared" si="33"/>
        <v>0</v>
      </c>
      <c r="M154" s="11">
        <f>+M152-M148</f>
        <v>-15776418.810008783</v>
      </c>
      <c r="O154" s="11"/>
      <c r="Q154" s="16"/>
    </row>
    <row r="155" spans="1:22" x14ac:dyDescent="0.2">
      <c r="I155" s="48">
        <f>-I58</f>
        <v>-807205.61249999993</v>
      </c>
      <c r="M155" s="11"/>
      <c r="O155" s="11">
        <v>23984910.34</v>
      </c>
      <c r="Q155" s="16"/>
    </row>
    <row r="156" spans="1:22" x14ac:dyDescent="0.2">
      <c r="M156" s="11">
        <f>23297994.53*5%</f>
        <v>1164899.7265000001</v>
      </c>
      <c r="O156" s="11">
        <v>0.05</v>
      </c>
      <c r="Q156" s="16"/>
    </row>
    <row r="157" spans="1:22" x14ac:dyDescent="0.2">
      <c r="A157" s="2" t="s">
        <v>1567</v>
      </c>
      <c r="M157" s="11"/>
      <c r="O157" s="11">
        <f>+O155*O156</f>
        <v>1199245.517</v>
      </c>
      <c r="Q157" s="16"/>
    </row>
    <row r="158" spans="1:22" x14ac:dyDescent="0.2">
      <c r="I158" s="11"/>
      <c r="M158" s="11"/>
      <c r="O158" s="11">
        <f>SUM(O155:O157)</f>
        <v>25184155.907000002</v>
      </c>
      <c r="Q158" s="16"/>
    </row>
    <row r="159" spans="1:22" x14ac:dyDescent="0.2">
      <c r="I159" s="11"/>
      <c r="M159" s="11">
        <f>+M148-M157</f>
        <v>40960574.717008784</v>
      </c>
      <c r="O159" s="11">
        <v>303610</v>
      </c>
      <c r="Q159" s="16"/>
    </row>
    <row r="160" spans="1:22" x14ac:dyDescent="0.2">
      <c r="I160" s="11"/>
      <c r="M160" s="11"/>
      <c r="O160" s="11">
        <v>0.05</v>
      </c>
      <c r="Q160" s="16"/>
    </row>
    <row r="161" spans="5:17" x14ac:dyDescent="0.2">
      <c r="I161" s="11"/>
      <c r="O161" s="11">
        <f>+O159*O160</f>
        <v>15180.5</v>
      </c>
      <c r="Q161" s="16"/>
    </row>
    <row r="162" spans="5:17" x14ac:dyDescent="0.2">
      <c r="E162" s="11"/>
      <c r="I162" s="11"/>
      <c r="O162" s="11">
        <f>SUM(O159:O161)</f>
        <v>318790.55</v>
      </c>
      <c r="Q162" s="16"/>
    </row>
    <row r="163" spans="5:17" x14ac:dyDescent="0.2">
      <c r="E163" s="11"/>
      <c r="Q163" s="16"/>
    </row>
    <row r="164" spans="5:17" x14ac:dyDescent="0.2">
      <c r="E164" s="11">
        <v>18432812.452761479</v>
      </c>
      <c r="F164" s="2">
        <v>2787720</v>
      </c>
      <c r="G164" s="2">
        <v>729374.68415424845</v>
      </c>
      <c r="H164" s="2">
        <v>8281356</v>
      </c>
      <c r="I164" s="2">
        <v>4472257.9412500001</v>
      </c>
      <c r="J164" s="2">
        <v>6000000</v>
      </c>
      <c r="K164" s="2">
        <v>601005.58000000007</v>
      </c>
      <c r="L164" s="2">
        <v>0</v>
      </c>
      <c r="M164" s="2">
        <v>41304526.658165723</v>
      </c>
      <c r="N164" s="2">
        <v>723639.24208447104</v>
      </c>
      <c r="O164" s="2">
        <v>42028165.900250196</v>
      </c>
      <c r="Q164" s="16"/>
    </row>
    <row r="165" spans="5:17" x14ac:dyDescent="0.2">
      <c r="E165" s="555">
        <f>E148-E164</f>
        <v>16959.780451513827</v>
      </c>
      <c r="F165" s="555">
        <f t="shared" ref="F165:O165" si="34">F148-F164</f>
        <v>93600</v>
      </c>
      <c r="G165" s="555">
        <f t="shared" si="34"/>
        <v>125.05839154019486</v>
      </c>
      <c r="H165" s="555">
        <f t="shared" si="34"/>
        <v>-476360.79999999981</v>
      </c>
      <c r="I165" s="555">
        <f t="shared" si="34"/>
        <v>0</v>
      </c>
      <c r="J165" s="555">
        <f t="shared" si="34"/>
        <v>0</v>
      </c>
      <c r="K165" s="555">
        <f t="shared" si="34"/>
        <v>21724.020000000019</v>
      </c>
      <c r="L165" s="555">
        <f t="shared" si="34"/>
        <v>0</v>
      </c>
      <c r="M165" s="555">
        <f t="shared" si="34"/>
        <v>-343951.94115693867</v>
      </c>
      <c r="N165" s="555">
        <f t="shared" si="34"/>
        <v>1635.4330916078761</v>
      </c>
      <c r="O165" s="555">
        <f t="shared" si="34"/>
        <v>-342316.50806533545</v>
      </c>
      <c r="Q165" s="16"/>
    </row>
    <row r="166" spans="5:17" x14ac:dyDescent="0.2">
      <c r="Q166" s="16"/>
    </row>
    <row r="167" spans="5:17" x14ac:dyDescent="0.2">
      <c r="Q167" s="16"/>
    </row>
    <row r="168" spans="5:17" x14ac:dyDescent="0.2">
      <c r="H168" s="2">
        <v>1560656</v>
      </c>
      <c r="Q168" s="16"/>
    </row>
    <row r="169" spans="5:17" x14ac:dyDescent="0.2">
      <c r="H169" s="2">
        <f>+H168*4.5%</f>
        <v>70229.52</v>
      </c>
      <c r="Q169" s="16"/>
    </row>
    <row r="170" spans="5:17" x14ac:dyDescent="0.2">
      <c r="Q170" s="16"/>
    </row>
    <row r="171" spans="5:17" x14ac:dyDescent="0.2">
      <c r="Q171" s="16"/>
    </row>
    <row r="172" spans="5:17" x14ac:dyDescent="0.2">
      <c r="Q172" s="16"/>
    </row>
    <row r="173" spans="5:17" x14ac:dyDescent="0.2">
      <c r="Q173" s="16"/>
    </row>
    <row r="174" spans="5:17" x14ac:dyDescent="0.2">
      <c r="Q174" s="16"/>
    </row>
    <row r="175" spans="5:17" x14ac:dyDescent="0.2">
      <c r="Q175" s="16"/>
    </row>
    <row r="176" spans="5:17" x14ac:dyDescent="0.2">
      <c r="Q176" s="16"/>
    </row>
    <row r="177" spans="17:17" x14ac:dyDescent="0.2">
      <c r="Q177" s="16"/>
    </row>
    <row r="178" spans="17:17" x14ac:dyDescent="0.2">
      <c r="Q178" s="16"/>
    </row>
    <row r="179" spans="17:17" x14ac:dyDescent="0.2">
      <c r="Q179" s="16"/>
    </row>
    <row r="180" spans="17:17" x14ac:dyDescent="0.2">
      <c r="Q180" s="16"/>
    </row>
    <row r="181" spans="17:17" x14ac:dyDescent="0.2">
      <c r="Q181" s="16"/>
    </row>
    <row r="182" spans="17:17" x14ac:dyDescent="0.2">
      <c r="Q182" s="16"/>
    </row>
    <row r="183" spans="17:17" x14ac:dyDescent="0.2">
      <c r="Q183" s="16"/>
    </row>
    <row r="184" spans="17:17" x14ac:dyDescent="0.2">
      <c r="Q184" s="16"/>
    </row>
    <row r="185" spans="17:17" x14ac:dyDescent="0.2">
      <c r="Q185" s="16"/>
    </row>
    <row r="186" spans="17:17" x14ac:dyDescent="0.2">
      <c r="Q186" s="16"/>
    </row>
    <row r="187" spans="17:17" x14ac:dyDescent="0.2">
      <c r="Q187" s="16"/>
    </row>
    <row r="188" spans="17:17" x14ac:dyDescent="0.2">
      <c r="Q188" s="16"/>
    </row>
    <row r="189" spans="17:17" x14ac:dyDescent="0.2">
      <c r="Q189" s="16"/>
    </row>
    <row r="190" spans="17:17" x14ac:dyDescent="0.2">
      <c r="Q190" s="16"/>
    </row>
    <row r="191" spans="17:17" x14ac:dyDescent="0.2">
      <c r="Q191" s="16"/>
    </row>
    <row r="192" spans="17:17" x14ac:dyDescent="0.2">
      <c r="Q192" s="16"/>
    </row>
    <row r="193" spans="17:17" x14ac:dyDescent="0.2">
      <c r="Q193" s="16"/>
    </row>
    <row r="194" spans="17:17" x14ac:dyDescent="0.2">
      <c r="Q194" s="16"/>
    </row>
    <row r="195" spans="17:17" x14ac:dyDescent="0.2">
      <c r="Q195" s="16"/>
    </row>
    <row r="196" spans="17:17" x14ac:dyDescent="0.2">
      <c r="Q196" s="16"/>
    </row>
    <row r="197" spans="17:17" x14ac:dyDescent="0.2">
      <c r="Q197" s="16"/>
    </row>
    <row r="198" spans="17:17" x14ac:dyDescent="0.2">
      <c r="Q198" s="16"/>
    </row>
    <row r="199" spans="17:17" x14ac:dyDescent="0.2">
      <c r="Q199" s="16"/>
    </row>
    <row r="200" spans="17:17" x14ac:dyDescent="0.2">
      <c r="Q200" s="16"/>
    </row>
    <row r="201" spans="17:17" x14ac:dyDescent="0.2">
      <c r="Q201" s="16"/>
    </row>
    <row r="202" spans="17:17" x14ac:dyDescent="0.2">
      <c r="Q202" s="16"/>
    </row>
    <row r="203" spans="17:17" x14ac:dyDescent="0.2">
      <c r="Q203" s="16"/>
    </row>
    <row r="204" spans="17:17" x14ac:dyDescent="0.2">
      <c r="Q204" s="16"/>
    </row>
    <row r="205" spans="17:17" x14ac:dyDescent="0.2">
      <c r="Q205" s="16"/>
    </row>
    <row r="206" spans="17:17" x14ac:dyDescent="0.2">
      <c r="Q206" s="16"/>
    </row>
    <row r="207" spans="17:17" x14ac:dyDescent="0.2">
      <c r="Q207" s="16"/>
    </row>
    <row r="208" spans="17:17" x14ac:dyDescent="0.2">
      <c r="Q208" s="16"/>
    </row>
    <row r="209" spans="17:17" x14ac:dyDescent="0.2">
      <c r="Q209" s="16"/>
    </row>
    <row r="210" spans="17:17" x14ac:dyDescent="0.2">
      <c r="Q210" s="16"/>
    </row>
    <row r="211" spans="17:17" x14ac:dyDescent="0.2">
      <c r="Q211" s="16"/>
    </row>
    <row r="212" spans="17:17" x14ac:dyDescent="0.2">
      <c r="Q212" s="16"/>
    </row>
    <row r="213" spans="17:17" x14ac:dyDescent="0.2">
      <c r="Q213" s="16"/>
    </row>
    <row r="214" spans="17:17" x14ac:dyDescent="0.2">
      <c r="Q214" s="16"/>
    </row>
    <row r="215" spans="17:17" x14ac:dyDescent="0.2">
      <c r="Q215" s="16"/>
    </row>
    <row r="216" spans="17:17" x14ac:dyDescent="0.2">
      <c r="Q216" s="16"/>
    </row>
    <row r="217" spans="17:17" x14ac:dyDescent="0.2">
      <c r="Q217" s="16"/>
    </row>
    <row r="218" spans="17:17" x14ac:dyDescent="0.2">
      <c r="Q218" s="16"/>
    </row>
    <row r="219" spans="17:17" x14ac:dyDescent="0.2">
      <c r="Q219" s="16"/>
    </row>
    <row r="220" spans="17:17" x14ac:dyDescent="0.2">
      <c r="Q220" s="16"/>
    </row>
    <row r="221" spans="17:17" x14ac:dyDescent="0.2">
      <c r="Q221" s="16"/>
    </row>
    <row r="222" spans="17:17" x14ac:dyDescent="0.2">
      <c r="Q222" s="16"/>
    </row>
    <row r="223" spans="17:17" x14ac:dyDescent="0.2">
      <c r="Q223" s="16"/>
    </row>
    <row r="224" spans="17:17" x14ac:dyDescent="0.2">
      <c r="Q224" s="16"/>
    </row>
    <row r="225" spans="17:17" x14ac:dyDescent="0.2">
      <c r="Q225" s="16"/>
    </row>
    <row r="226" spans="17:17" x14ac:dyDescent="0.2">
      <c r="Q226" s="16"/>
    </row>
    <row r="227" spans="17:17" x14ac:dyDescent="0.2">
      <c r="Q227" s="16"/>
    </row>
    <row r="228" spans="17:17" x14ac:dyDescent="0.2">
      <c r="Q228" s="16"/>
    </row>
    <row r="229" spans="17:17" x14ac:dyDescent="0.2">
      <c r="Q229" s="16"/>
    </row>
    <row r="230" spans="17:17" x14ac:dyDescent="0.2">
      <c r="Q230" s="16"/>
    </row>
    <row r="231" spans="17:17" x14ac:dyDescent="0.2">
      <c r="Q231" s="16"/>
    </row>
    <row r="232" spans="17:17" x14ac:dyDescent="0.2">
      <c r="Q232" s="16"/>
    </row>
    <row r="233" spans="17:17" x14ac:dyDescent="0.2">
      <c r="Q233" s="16"/>
    </row>
    <row r="234" spans="17:17" x14ac:dyDescent="0.2">
      <c r="Q234" s="16"/>
    </row>
    <row r="235" spans="17:17" x14ac:dyDescent="0.2">
      <c r="Q235" s="16"/>
    </row>
    <row r="236" spans="17:17" x14ac:dyDescent="0.2">
      <c r="Q236" s="16"/>
    </row>
    <row r="237" spans="17:17" x14ac:dyDescent="0.2">
      <c r="Q237" s="16"/>
    </row>
    <row r="238" spans="17:17" x14ac:dyDescent="0.2">
      <c r="Q238" s="16"/>
    </row>
    <row r="239" spans="17:17" x14ac:dyDescent="0.2">
      <c r="Q239" s="16"/>
    </row>
    <row r="240" spans="17:17" x14ac:dyDescent="0.2">
      <c r="Q240" s="16"/>
    </row>
    <row r="241" spans="17:17" x14ac:dyDescent="0.2">
      <c r="Q241" s="16"/>
    </row>
    <row r="242" spans="17:17" x14ac:dyDescent="0.2">
      <c r="Q242" s="16"/>
    </row>
    <row r="243" spans="17:17" x14ac:dyDescent="0.2">
      <c r="Q243" s="16"/>
    </row>
    <row r="244" spans="17:17" x14ac:dyDescent="0.2">
      <c r="Q244" s="16"/>
    </row>
    <row r="245" spans="17:17" x14ac:dyDescent="0.2">
      <c r="Q245" s="16"/>
    </row>
    <row r="246" spans="17:17" x14ac:dyDescent="0.2">
      <c r="Q246" s="16"/>
    </row>
    <row r="247" spans="17:17" x14ac:dyDescent="0.2">
      <c r="Q247" s="16"/>
    </row>
    <row r="248" spans="17:17" x14ac:dyDescent="0.2">
      <c r="Q248" s="16"/>
    </row>
    <row r="249" spans="17:17" x14ac:dyDescent="0.2">
      <c r="Q249" s="16"/>
    </row>
    <row r="250" spans="17:17" x14ac:dyDescent="0.2">
      <c r="Q250" s="16"/>
    </row>
    <row r="251" spans="17:17" x14ac:dyDescent="0.2">
      <c r="Q251" s="16"/>
    </row>
    <row r="252" spans="17:17" x14ac:dyDescent="0.2">
      <c r="Q252" s="16"/>
    </row>
    <row r="253" spans="17:17" x14ac:dyDescent="0.2">
      <c r="Q253" s="16"/>
    </row>
    <row r="254" spans="17:17" x14ac:dyDescent="0.2">
      <c r="Q254" s="16"/>
    </row>
    <row r="255" spans="17:17" x14ac:dyDescent="0.2">
      <c r="Q255" s="16"/>
    </row>
    <row r="256" spans="17:17" x14ac:dyDescent="0.2">
      <c r="Q256" s="16"/>
    </row>
    <row r="257" spans="17:17" x14ac:dyDescent="0.2">
      <c r="Q257" s="16"/>
    </row>
    <row r="258" spans="17:17" x14ac:dyDescent="0.2">
      <c r="Q258" s="16"/>
    </row>
    <row r="259" spans="17:17" x14ac:dyDescent="0.2">
      <c r="Q259" s="16"/>
    </row>
    <row r="260" spans="17:17" x14ac:dyDescent="0.2">
      <c r="Q260" s="16"/>
    </row>
    <row r="261" spans="17:17" x14ac:dyDescent="0.2">
      <c r="Q261" s="16"/>
    </row>
    <row r="262" spans="17:17" x14ac:dyDescent="0.2">
      <c r="Q262" s="16"/>
    </row>
    <row r="263" spans="17:17" x14ac:dyDescent="0.2">
      <c r="Q263" s="16"/>
    </row>
    <row r="264" spans="17:17" x14ac:dyDescent="0.2">
      <c r="Q264" s="16"/>
    </row>
    <row r="265" spans="17:17" x14ac:dyDescent="0.2">
      <c r="Q265" s="16"/>
    </row>
    <row r="266" spans="17:17" x14ac:dyDescent="0.2">
      <c r="Q266" s="16"/>
    </row>
    <row r="267" spans="17:17" x14ac:dyDescent="0.2">
      <c r="Q267" s="16"/>
    </row>
    <row r="268" spans="17:17" x14ac:dyDescent="0.2">
      <c r="Q268" s="16"/>
    </row>
    <row r="269" spans="17:17" x14ac:dyDescent="0.2">
      <c r="Q269" s="16"/>
    </row>
    <row r="270" spans="17:17" x14ac:dyDescent="0.2">
      <c r="Q270" s="16"/>
    </row>
    <row r="271" spans="17:17" x14ac:dyDescent="0.2">
      <c r="Q271" s="16"/>
    </row>
    <row r="272" spans="17:17" x14ac:dyDescent="0.2">
      <c r="Q272" s="16"/>
    </row>
    <row r="273" spans="17:17" x14ac:dyDescent="0.2">
      <c r="Q273" s="16"/>
    </row>
    <row r="274" spans="17:17" x14ac:dyDescent="0.2">
      <c r="Q274" s="16"/>
    </row>
    <row r="275" spans="17:17" x14ac:dyDescent="0.2">
      <c r="Q275" s="16"/>
    </row>
    <row r="276" spans="17:17" x14ac:dyDescent="0.2">
      <c r="Q276" s="16"/>
    </row>
    <row r="277" spans="17:17" x14ac:dyDescent="0.2">
      <c r="Q277" s="16"/>
    </row>
    <row r="278" spans="17:17" x14ac:dyDescent="0.2">
      <c r="Q278" s="16"/>
    </row>
    <row r="279" spans="17:17" x14ac:dyDescent="0.2">
      <c r="Q279" s="16"/>
    </row>
    <row r="280" spans="17:17" x14ac:dyDescent="0.2">
      <c r="Q280" s="16"/>
    </row>
    <row r="281" spans="17:17" x14ac:dyDescent="0.2">
      <c r="Q281" s="16"/>
    </row>
    <row r="282" spans="17:17" x14ac:dyDescent="0.2">
      <c r="Q282" s="16"/>
    </row>
    <row r="283" spans="17:17" x14ac:dyDescent="0.2">
      <c r="Q283" s="16"/>
    </row>
    <row r="284" spans="17:17" x14ac:dyDescent="0.2">
      <c r="Q284" s="16"/>
    </row>
    <row r="285" spans="17:17" x14ac:dyDescent="0.2">
      <c r="Q285" s="16"/>
    </row>
    <row r="286" spans="17:17" x14ac:dyDescent="0.2">
      <c r="Q286" s="16"/>
    </row>
    <row r="287" spans="17:17" x14ac:dyDescent="0.2">
      <c r="Q287" s="16"/>
    </row>
    <row r="288" spans="17:17" x14ac:dyDescent="0.2">
      <c r="Q288" s="16"/>
    </row>
    <row r="289" spans="17:17" x14ac:dyDescent="0.2">
      <c r="Q289" s="16"/>
    </row>
    <row r="290" spans="17:17" x14ac:dyDescent="0.2">
      <c r="Q290" s="16"/>
    </row>
    <row r="291" spans="17:17" x14ac:dyDescent="0.2">
      <c r="Q291" s="16"/>
    </row>
    <row r="292" spans="17:17" x14ac:dyDescent="0.2">
      <c r="Q292" s="16"/>
    </row>
    <row r="293" spans="17:17" x14ac:dyDescent="0.2">
      <c r="Q293" s="16"/>
    </row>
    <row r="294" spans="17:17" x14ac:dyDescent="0.2">
      <c r="Q294" s="16"/>
    </row>
    <row r="295" spans="17:17" x14ac:dyDescent="0.2">
      <c r="Q295" s="16"/>
    </row>
    <row r="296" spans="17:17" x14ac:dyDescent="0.2">
      <c r="Q296" s="16"/>
    </row>
    <row r="297" spans="17:17" x14ac:dyDescent="0.2">
      <c r="Q297" s="16"/>
    </row>
    <row r="298" spans="17:17" x14ac:dyDescent="0.2">
      <c r="Q298" s="16"/>
    </row>
    <row r="299" spans="17:17" x14ac:dyDescent="0.2">
      <c r="Q299" s="16"/>
    </row>
    <row r="300" spans="17:17" x14ac:dyDescent="0.2">
      <c r="Q300" s="16"/>
    </row>
    <row r="301" spans="17:17" x14ac:dyDescent="0.2">
      <c r="Q301" s="16"/>
    </row>
    <row r="302" spans="17:17" x14ac:dyDescent="0.2">
      <c r="Q302" s="16"/>
    </row>
    <row r="303" spans="17:17" x14ac:dyDescent="0.2">
      <c r="Q303" s="16"/>
    </row>
    <row r="304" spans="17:17" x14ac:dyDescent="0.2">
      <c r="Q304" s="16"/>
    </row>
    <row r="305" spans="17:17" x14ac:dyDescent="0.2">
      <c r="Q305" s="16"/>
    </row>
    <row r="306" spans="17:17" x14ac:dyDescent="0.2">
      <c r="Q306" s="16"/>
    </row>
    <row r="307" spans="17:17" x14ac:dyDescent="0.2">
      <c r="Q307" s="16"/>
    </row>
    <row r="308" spans="17:17" x14ac:dyDescent="0.2">
      <c r="Q308" s="16"/>
    </row>
    <row r="309" spans="17:17" x14ac:dyDescent="0.2">
      <c r="Q309" s="16"/>
    </row>
    <row r="310" spans="17:17" x14ac:dyDescent="0.2">
      <c r="Q310" s="16"/>
    </row>
    <row r="311" spans="17:17" x14ac:dyDescent="0.2">
      <c r="Q311" s="16"/>
    </row>
    <row r="312" spans="17:17" x14ac:dyDescent="0.2">
      <c r="Q312" s="16"/>
    </row>
    <row r="313" spans="17:17" x14ac:dyDescent="0.2">
      <c r="Q313" s="16"/>
    </row>
    <row r="314" spans="17:17" x14ac:dyDescent="0.2">
      <c r="Q314" s="16"/>
    </row>
    <row r="315" spans="17:17" x14ac:dyDescent="0.2">
      <c r="Q315" s="16"/>
    </row>
    <row r="316" spans="17:17" x14ac:dyDescent="0.2">
      <c r="Q316" s="16"/>
    </row>
    <row r="317" spans="17:17" x14ac:dyDescent="0.2">
      <c r="Q317" s="16"/>
    </row>
    <row r="318" spans="17:17" x14ac:dyDescent="0.2">
      <c r="Q318" s="16"/>
    </row>
    <row r="319" spans="17:17" x14ac:dyDescent="0.2">
      <c r="Q319" s="16"/>
    </row>
    <row r="320" spans="17:17" x14ac:dyDescent="0.2">
      <c r="Q320" s="16"/>
    </row>
    <row r="321" spans="17:17" x14ac:dyDescent="0.2">
      <c r="Q321" s="16"/>
    </row>
    <row r="322" spans="17:17" x14ac:dyDescent="0.2">
      <c r="Q322" s="16"/>
    </row>
    <row r="323" spans="17:17" x14ac:dyDescent="0.2">
      <c r="Q323" s="16"/>
    </row>
    <row r="324" spans="17:17" x14ac:dyDescent="0.2">
      <c r="Q324" s="16"/>
    </row>
    <row r="325" spans="17:17" x14ac:dyDescent="0.2">
      <c r="Q325" s="16"/>
    </row>
    <row r="326" spans="17:17" x14ac:dyDescent="0.2">
      <c r="Q326" s="16"/>
    </row>
    <row r="327" spans="17:17" x14ac:dyDescent="0.2">
      <c r="Q327" s="16"/>
    </row>
    <row r="328" spans="17:17" x14ac:dyDescent="0.2">
      <c r="Q328" s="16"/>
    </row>
    <row r="329" spans="17:17" x14ac:dyDescent="0.2">
      <c r="Q329" s="16"/>
    </row>
    <row r="330" spans="17:17" x14ac:dyDescent="0.2">
      <c r="Q330" s="16"/>
    </row>
    <row r="331" spans="17:17" x14ac:dyDescent="0.2">
      <c r="Q331" s="16"/>
    </row>
    <row r="332" spans="17:17" x14ac:dyDescent="0.2">
      <c r="Q332" s="16"/>
    </row>
    <row r="333" spans="17:17" x14ac:dyDescent="0.2">
      <c r="Q333" s="16"/>
    </row>
    <row r="334" spans="17:17" x14ac:dyDescent="0.2">
      <c r="Q334" s="16"/>
    </row>
    <row r="335" spans="17:17" x14ac:dyDescent="0.2">
      <c r="Q335" s="16"/>
    </row>
    <row r="336" spans="17:17" x14ac:dyDescent="0.2">
      <c r="Q336" s="16"/>
    </row>
    <row r="337" spans="17:17" x14ac:dyDescent="0.2">
      <c r="Q337" s="16"/>
    </row>
    <row r="338" spans="17:17" x14ac:dyDescent="0.2">
      <c r="Q338" s="16"/>
    </row>
    <row r="339" spans="17:17" x14ac:dyDescent="0.2">
      <c r="Q339" s="16"/>
    </row>
    <row r="340" spans="17:17" x14ac:dyDescent="0.2">
      <c r="Q340" s="16"/>
    </row>
    <row r="341" spans="17:17" x14ac:dyDescent="0.2">
      <c r="Q341" s="16"/>
    </row>
    <row r="342" spans="17:17" x14ac:dyDescent="0.2">
      <c r="Q342" s="16"/>
    </row>
    <row r="343" spans="17:17" x14ac:dyDescent="0.2">
      <c r="Q343" s="16"/>
    </row>
    <row r="344" spans="17:17" x14ac:dyDescent="0.2">
      <c r="Q344" s="16"/>
    </row>
    <row r="345" spans="17:17" x14ac:dyDescent="0.2">
      <c r="Q345" s="16"/>
    </row>
    <row r="346" spans="17:17" x14ac:dyDescent="0.2">
      <c r="Q346" s="16"/>
    </row>
    <row r="347" spans="17:17" x14ac:dyDescent="0.2">
      <c r="Q347" s="16"/>
    </row>
    <row r="348" spans="17:17" x14ac:dyDescent="0.2">
      <c r="Q348" s="16"/>
    </row>
    <row r="349" spans="17:17" x14ac:dyDescent="0.2">
      <c r="Q349" s="16"/>
    </row>
    <row r="350" spans="17:17" x14ac:dyDescent="0.2">
      <c r="Q350" s="16"/>
    </row>
    <row r="351" spans="17:17" x14ac:dyDescent="0.2">
      <c r="Q351" s="16"/>
    </row>
    <row r="352" spans="17:17" x14ac:dyDescent="0.2">
      <c r="Q352" s="16"/>
    </row>
    <row r="353" spans="17:17" x14ac:dyDescent="0.2">
      <c r="Q353" s="16"/>
    </row>
    <row r="354" spans="17:17" x14ac:dyDescent="0.2">
      <c r="Q354" s="16"/>
    </row>
    <row r="355" spans="17:17" x14ac:dyDescent="0.2">
      <c r="Q355" s="16"/>
    </row>
    <row r="356" spans="17:17" x14ac:dyDescent="0.2">
      <c r="Q356" s="16"/>
    </row>
    <row r="357" spans="17:17" x14ac:dyDescent="0.2">
      <c r="Q357" s="16"/>
    </row>
    <row r="358" spans="17:17" x14ac:dyDescent="0.2">
      <c r="Q358" s="16"/>
    </row>
    <row r="359" spans="17:17" x14ac:dyDescent="0.2">
      <c r="Q359" s="16"/>
    </row>
    <row r="360" spans="17:17" x14ac:dyDescent="0.2">
      <c r="Q360" s="16"/>
    </row>
    <row r="361" spans="17:17" x14ac:dyDescent="0.2">
      <c r="Q361" s="16"/>
    </row>
    <row r="362" spans="17:17" x14ac:dyDescent="0.2">
      <c r="Q362" s="16"/>
    </row>
    <row r="363" spans="17:17" x14ac:dyDescent="0.2">
      <c r="Q363" s="16"/>
    </row>
    <row r="364" spans="17:17" x14ac:dyDescent="0.2">
      <c r="Q364" s="16"/>
    </row>
    <row r="365" spans="17:17" x14ac:dyDescent="0.2">
      <c r="Q365" s="16"/>
    </row>
    <row r="366" spans="17:17" x14ac:dyDescent="0.2">
      <c r="Q366" s="16"/>
    </row>
    <row r="367" spans="17:17" x14ac:dyDescent="0.2">
      <c r="Q367" s="16"/>
    </row>
    <row r="368" spans="17:17" x14ac:dyDescent="0.2">
      <c r="Q368" s="16"/>
    </row>
    <row r="369" spans="17:17" x14ac:dyDescent="0.2">
      <c r="Q369" s="16"/>
    </row>
    <row r="370" spans="17:17" x14ac:dyDescent="0.2">
      <c r="Q370" s="16"/>
    </row>
    <row r="371" spans="17:17" x14ac:dyDescent="0.2">
      <c r="Q371" s="16"/>
    </row>
    <row r="372" spans="17:17" x14ac:dyDescent="0.2">
      <c r="Q372" s="16"/>
    </row>
    <row r="373" spans="17:17" x14ac:dyDescent="0.2">
      <c r="Q373" s="16"/>
    </row>
    <row r="374" spans="17:17" x14ac:dyDescent="0.2">
      <c r="Q374" s="16"/>
    </row>
    <row r="375" spans="17:17" x14ac:dyDescent="0.2">
      <c r="Q375" s="16"/>
    </row>
    <row r="376" spans="17:17" x14ac:dyDescent="0.2">
      <c r="Q376" s="16"/>
    </row>
    <row r="377" spans="17:17" x14ac:dyDescent="0.2">
      <c r="Q377" s="16"/>
    </row>
    <row r="378" spans="17:17" x14ac:dyDescent="0.2">
      <c r="Q378" s="16"/>
    </row>
    <row r="379" spans="17:17" x14ac:dyDescent="0.2">
      <c r="Q379" s="16"/>
    </row>
    <row r="380" spans="17:17" x14ac:dyDescent="0.2">
      <c r="Q380" s="16"/>
    </row>
    <row r="381" spans="17:17" x14ac:dyDescent="0.2">
      <c r="Q381" s="16"/>
    </row>
    <row r="382" spans="17:17" x14ac:dyDescent="0.2">
      <c r="Q382" s="16"/>
    </row>
    <row r="383" spans="17:17" x14ac:dyDescent="0.2">
      <c r="Q383" s="16"/>
    </row>
    <row r="384" spans="17:17" x14ac:dyDescent="0.2">
      <c r="Q384" s="16"/>
    </row>
    <row r="385" spans="17:17" x14ac:dyDescent="0.2">
      <c r="Q385" s="16"/>
    </row>
    <row r="386" spans="17:17" x14ac:dyDescent="0.2">
      <c r="Q386" s="16"/>
    </row>
    <row r="387" spans="17:17" x14ac:dyDescent="0.2">
      <c r="Q387" s="16"/>
    </row>
    <row r="388" spans="17:17" x14ac:dyDescent="0.2">
      <c r="Q388" s="16"/>
    </row>
    <row r="389" spans="17:17" x14ac:dyDescent="0.2">
      <c r="Q389" s="16"/>
    </row>
    <row r="390" spans="17:17" x14ac:dyDescent="0.2">
      <c r="Q390" s="16"/>
    </row>
    <row r="391" spans="17:17" x14ac:dyDescent="0.2">
      <c r="Q391" s="16"/>
    </row>
    <row r="392" spans="17:17" x14ac:dyDescent="0.2">
      <c r="Q392" s="16"/>
    </row>
    <row r="393" spans="17:17" x14ac:dyDescent="0.2">
      <c r="Q393" s="16"/>
    </row>
    <row r="394" spans="17:17" x14ac:dyDescent="0.2">
      <c r="Q394" s="16"/>
    </row>
    <row r="395" spans="17:17" x14ac:dyDescent="0.2">
      <c r="Q395" s="16"/>
    </row>
    <row r="396" spans="17:17" x14ac:dyDescent="0.2">
      <c r="Q396" s="16"/>
    </row>
    <row r="397" spans="17:17" x14ac:dyDescent="0.2">
      <c r="Q397" s="16"/>
    </row>
    <row r="398" spans="17:17" x14ac:dyDescent="0.2">
      <c r="Q398" s="16"/>
    </row>
    <row r="399" spans="17:17" x14ac:dyDescent="0.2">
      <c r="Q399" s="16"/>
    </row>
    <row r="400" spans="17:17" x14ac:dyDescent="0.2">
      <c r="Q400" s="16"/>
    </row>
    <row r="401" spans="17:17" x14ac:dyDescent="0.2">
      <c r="Q401" s="16"/>
    </row>
    <row r="402" spans="17:17" x14ac:dyDescent="0.2">
      <c r="Q402" s="16"/>
    </row>
  </sheetData>
  <sortState xmlns:xlrd2="http://schemas.microsoft.com/office/spreadsheetml/2017/richdata2" ref="A90:U104">
    <sortCondition ref="C90:C104"/>
  </sortState>
  <customSheetViews>
    <customSheetView guid="{60788006-5C2B-4CAF-8D5B-3FA82F99F0BB}" showPageBreaks="1" printArea="1" hiddenRows="1" hiddenColumns="1" view="pageBreakPreview">
      <pane xSplit="3" ySplit="3" topLeftCell="D121" activePane="bottomRight" state="frozen"/>
      <selection pane="bottomRight" activeCell="F137" sqref="F137"/>
      <rowBreaks count="1" manualBreakCount="1">
        <brk id="74" max="16" man="1"/>
      </rowBreaks>
      <pageMargins left="0" right="0" top="0" bottom="0" header="0.31496062992125984" footer="0.31496062992125984"/>
      <pageSetup paperSize="9" scale="74" orientation="landscape" r:id="rId1"/>
      <headerFooter alignWithMargins="0"/>
    </customSheetView>
    <customSheetView guid="{6C0BD6A7-6718-429D-82D9-D2FE0341EA2C}" showPageBreaks="1" printArea="1" hiddenRows="1" view="pageBreakPreview">
      <pane xSplit="3" ySplit="3" topLeftCell="D43" activePane="bottomRight" state="frozen"/>
      <selection pane="bottomRight" activeCell="B80" sqref="B80"/>
      <rowBreaks count="1" manualBreakCount="1">
        <brk id="73" max="16" man="1"/>
      </rowBreaks>
      <pageMargins left="0" right="0" top="0" bottom="0" header="0.31496062992125984" footer="0.31496062992125984"/>
      <pageSetup paperSize="8" scale="74" orientation="landscape" r:id="rId2"/>
      <headerFooter alignWithMargins="0"/>
    </customSheetView>
    <customSheetView guid="{594C4AB0-8D5F-4373-9663-410F4413FE3A}" showPageBreaks="1" printArea="1" hiddenRows="1" view="pageBreakPreview">
      <pane xSplit="3" ySplit="3" topLeftCell="D46" activePane="bottomRight" state="frozen"/>
      <selection pane="bottomRight" activeCell="P59" sqref="P59"/>
      <rowBreaks count="1" manualBreakCount="1">
        <brk id="73" max="16" man="1"/>
      </rowBreaks>
      <pageMargins left="0" right="0" top="0" bottom="0" header="0.31496062992125984" footer="0.31496062992125984"/>
      <pageSetup paperSize="8" scale="74" orientation="landscape" r:id="rId3"/>
      <headerFooter alignWithMargins="0"/>
    </customSheetView>
    <customSheetView guid="{DF69299D-7752-4436-A45D-28F739CEE21B}" showPageBreaks="1" printArea="1" hiddenRows="1" hiddenColumns="1" view="pageBreakPreview">
      <pane xSplit="3" ySplit="3" topLeftCell="D4" activePane="bottomRight" state="frozen"/>
      <selection pane="bottomRight" activeCell="F137" sqref="F137"/>
      <rowBreaks count="1" manualBreakCount="1">
        <brk id="74" max="16" man="1"/>
      </rowBreaks>
      <pageMargins left="0" right="0" top="0" bottom="0" header="0.31496062992125984" footer="0.31496062992125984"/>
      <pageSetup paperSize="9" scale="74" orientation="landscape" r:id="rId4"/>
      <headerFooter alignWithMargins="0"/>
    </customSheetView>
  </customSheetViews>
  <mergeCells count="16">
    <mergeCell ref="D128:F128"/>
    <mergeCell ref="D116:F116"/>
    <mergeCell ref="D5:F5"/>
    <mergeCell ref="D38:F38"/>
    <mergeCell ref="D51:F51"/>
    <mergeCell ref="D87:F87"/>
    <mergeCell ref="D109:F109"/>
    <mergeCell ref="D18:F18"/>
    <mergeCell ref="D25:F25"/>
    <mergeCell ref="D43:F43"/>
    <mergeCell ref="D60:F60"/>
    <mergeCell ref="D66:F66"/>
    <mergeCell ref="D72:F72"/>
    <mergeCell ref="D78:F78"/>
    <mergeCell ref="D11:F11"/>
    <mergeCell ref="D33:F33"/>
  </mergeCells>
  <phoneticPr fontId="0" type="noConversion"/>
  <pageMargins left="0" right="0" top="0" bottom="0" header="0.31496062992125984" footer="0.31496062992125984"/>
  <pageSetup paperSize="9" scale="74" orientation="landscape" r:id="rId5"/>
  <headerFooter alignWithMargins="0"/>
  <rowBreaks count="1" manualBreakCount="1">
    <brk id="74" max="1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>
    <tabColor indexed="61"/>
  </sheetPr>
  <dimension ref="A1:Q139"/>
  <sheetViews>
    <sheetView view="pageBreakPreview" zoomScaleSheetLayoutView="100" workbookViewId="0">
      <pane xSplit="3" ySplit="3" topLeftCell="D61" activePane="bottomRight" state="frozen"/>
      <selection pane="topRight" activeCell="D1" sqref="D1"/>
      <selection pane="bottomLeft" activeCell="A4" sqref="A4"/>
      <selection pane="bottomRight" activeCell="N12" sqref="N12"/>
    </sheetView>
  </sheetViews>
  <sheetFormatPr defaultColWidth="9.21875" defaultRowHeight="10.199999999999999" x14ac:dyDescent="0.2"/>
  <cols>
    <col min="1" max="1" width="24.77734375" style="2" bestFit="1" customWidth="1"/>
    <col min="2" max="2" width="12.21875" style="2" customWidth="1"/>
    <col min="3" max="3" width="4.44140625" style="4" customWidth="1"/>
    <col min="4" max="4" width="9.21875" style="13" bestFit="1" customWidth="1"/>
    <col min="5" max="5" width="14" style="2" bestFit="1" customWidth="1"/>
    <col min="6" max="6" width="10.44140625" style="2" bestFit="1" customWidth="1"/>
    <col min="7" max="7" width="11.21875" style="2" bestFit="1" customWidth="1"/>
    <col min="8" max="8" width="13.21875" style="2" bestFit="1" customWidth="1"/>
    <col min="9" max="9" width="13.44140625" style="2" bestFit="1" customWidth="1"/>
    <col min="10" max="10" width="9" style="2" hidden="1" customWidth="1"/>
    <col min="11" max="12" width="11.21875" style="2" bestFit="1" customWidth="1"/>
    <col min="13" max="13" width="13.21875" style="2" bestFit="1" customWidth="1"/>
    <col min="14" max="14" width="12" style="2" bestFit="1" customWidth="1"/>
    <col min="15" max="15" width="14" style="2" bestFit="1" customWidth="1"/>
    <col min="16" max="16" width="12" style="11" hidden="1" customWidth="1"/>
    <col min="17" max="17" width="8.77734375" style="21" bestFit="1" customWidth="1"/>
    <col min="18" max="16384" width="9.21875" style="2"/>
  </cols>
  <sheetData>
    <row r="1" spans="1:17" ht="15.6" x14ac:dyDescent="0.3">
      <c r="A1" s="360" t="s">
        <v>1568</v>
      </c>
      <c r="B1" s="359"/>
      <c r="C1" s="366"/>
      <c r="D1" s="365" t="s">
        <v>22</v>
      </c>
      <c r="O1" s="2" t="s">
        <v>1434</v>
      </c>
    </row>
    <row r="3" spans="1:17" s="124" customFormat="1" ht="19.2" x14ac:dyDescent="0.2">
      <c r="A3" s="301" t="s">
        <v>1</v>
      </c>
      <c r="B3" s="301" t="s">
        <v>0</v>
      </c>
      <c r="C3" s="302" t="s">
        <v>2</v>
      </c>
      <c r="D3" s="303" t="s">
        <v>3</v>
      </c>
      <c r="E3" s="304" t="s">
        <v>130</v>
      </c>
      <c r="F3" s="304" t="s">
        <v>1450</v>
      </c>
      <c r="G3" s="304" t="s">
        <v>131</v>
      </c>
      <c r="H3" s="304" t="s">
        <v>132</v>
      </c>
      <c r="I3" s="304" t="s">
        <v>137</v>
      </c>
      <c r="J3" s="304" t="s">
        <v>133</v>
      </c>
      <c r="K3" s="304" t="s">
        <v>134</v>
      </c>
      <c r="L3" s="305" t="str">
        <f>+mayor!L3</f>
        <v>INTEREST</v>
      </c>
      <c r="M3" s="306" t="s">
        <v>12</v>
      </c>
      <c r="N3" s="304" t="s">
        <v>136</v>
      </c>
      <c r="O3" s="304" t="s">
        <v>135</v>
      </c>
      <c r="P3" s="307" t="s">
        <v>63</v>
      </c>
      <c r="Q3" s="308" t="s">
        <v>11</v>
      </c>
    </row>
    <row r="4" spans="1:17" s="7" customFormat="1" ht="10.8" thickBot="1" x14ac:dyDescent="0.25">
      <c r="C4" s="29"/>
      <c r="D4" s="30"/>
      <c r="E4" s="71"/>
      <c r="F4" s="71"/>
      <c r="G4" s="71"/>
      <c r="H4" s="71"/>
      <c r="I4" s="71"/>
      <c r="J4" s="71"/>
      <c r="K4" s="71"/>
      <c r="L4" s="71"/>
      <c r="N4" s="71"/>
      <c r="O4" s="71"/>
      <c r="P4" s="17"/>
      <c r="Q4" s="34"/>
    </row>
    <row r="5" spans="1:17" ht="10.8" thickBot="1" x14ac:dyDescent="0.25">
      <c r="A5" s="283" t="s">
        <v>10</v>
      </c>
      <c r="B5" s="284" t="s">
        <v>451</v>
      </c>
      <c r="D5" s="556" t="s">
        <v>623</v>
      </c>
      <c r="E5" s="557"/>
      <c r="F5" s="558"/>
      <c r="Q5" s="16"/>
    </row>
    <row r="6" spans="1:17" x14ac:dyDescent="0.2">
      <c r="Q6" s="16"/>
    </row>
    <row r="7" spans="1:17" x14ac:dyDescent="0.2">
      <c r="A7" s="482" t="str">
        <f>+'1-10'!C9</f>
        <v>ISUZU KB200i 2x4 [073]</v>
      </c>
      <c r="B7" s="508" t="str">
        <f>+'1-10'!R9</f>
        <v>CMB 581 L</v>
      </c>
      <c r="C7" s="483">
        <v>608</v>
      </c>
      <c r="D7" s="6">
        <v>20000</v>
      </c>
      <c r="E7" s="514">
        <f>+D7/P7*(CALC!$A$4)</f>
        <v>70464.767616191908</v>
      </c>
      <c r="F7" s="28">
        <v>23400</v>
      </c>
      <c r="G7" s="28">
        <f>CALC!$A$23*(I7/CEM!I$148)</f>
        <v>2271.2521186022946</v>
      </c>
      <c r="H7" s="28">
        <f>35000*(1+CALC!B$14)</f>
        <v>37800</v>
      </c>
      <c r="I7" s="28">
        <v>15393.84</v>
      </c>
      <c r="J7" s="28"/>
      <c r="K7" s="522">
        <f>678*(1+CALC!B$13)</f>
        <v>759.36000000000013</v>
      </c>
      <c r="L7" s="28"/>
      <c r="M7" s="28">
        <f>SUM(E7:L7)</f>
        <v>150089.2197347942</v>
      </c>
      <c r="N7" s="24">
        <f>M7/CALC!$A$8*CALC!$A$6</f>
        <v>2931.3889421081781</v>
      </c>
      <c r="O7" s="28">
        <f>+M7+N7</f>
        <v>153020.60867690237</v>
      </c>
      <c r="P7" s="37">
        <v>6.67</v>
      </c>
      <c r="Q7" s="38"/>
    </row>
    <row r="8" spans="1:17" x14ac:dyDescent="0.2">
      <c r="A8" s="482" t="str">
        <f>+'1-10'!C10</f>
        <v>ISUZU KB200i 2x4 [073]</v>
      </c>
      <c r="B8" s="508" t="str">
        <f>+'1-10'!R10</f>
        <v>CMB 583 L</v>
      </c>
      <c r="C8" s="483">
        <v>609</v>
      </c>
      <c r="D8" s="6">
        <v>30000</v>
      </c>
      <c r="E8" s="514">
        <f>+D8/P8*(CALC!$A$4)</f>
        <v>105697.15142428786</v>
      </c>
      <c r="F8" s="28">
        <v>23400</v>
      </c>
      <c r="G8" s="28">
        <f>CALC!$A$23*(I8/CEM!I$148)</f>
        <v>1647.5542567745003</v>
      </c>
      <c r="H8" s="28">
        <f>35000*(1+CALC!B$14)</f>
        <v>37800</v>
      </c>
      <c r="I8" s="28">
        <v>11166.61</v>
      </c>
      <c r="J8" s="28"/>
      <c r="K8" s="522">
        <f>678*(1+CALC!B$13)</f>
        <v>759.36000000000013</v>
      </c>
      <c r="L8" s="28"/>
      <c r="M8" s="28">
        <f t="shared" ref="M8:M14" si="0">SUM(E8:L8)</f>
        <v>180470.67568106233</v>
      </c>
      <c r="N8" s="24">
        <f>M8/CALC!$A$8*CALC!$A$6</f>
        <v>3524.7684277461526</v>
      </c>
      <c r="O8" s="28">
        <f t="shared" ref="O8:O14" si="1">+M8+N8</f>
        <v>183995.4441088085</v>
      </c>
      <c r="P8" s="37">
        <v>6.67</v>
      </c>
      <c r="Q8" s="38"/>
    </row>
    <row r="9" spans="1:17" x14ac:dyDescent="0.2">
      <c r="A9" s="482" t="str">
        <f>+'1-10'!C11</f>
        <v>ISUZU KB200i 2x4 [093]</v>
      </c>
      <c r="B9" s="508" t="str">
        <f>+'1-10'!R11</f>
        <v>CMB 613 L</v>
      </c>
      <c r="C9" s="483">
        <v>610</v>
      </c>
      <c r="D9" s="6">
        <v>30000</v>
      </c>
      <c r="E9" s="514">
        <f>+D9/P9*(CALC!$A$4)</f>
        <v>105697.15142428786</v>
      </c>
      <c r="F9" s="28">
        <v>23400</v>
      </c>
      <c r="G9" s="28">
        <f>CALC!$A$23*(I9/CEM!I$148)</f>
        <v>2271.2521186022946</v>
      </c>
      <c r="H9" s="28">
        <f>35000*(1+CALC!B$14)</f>
        <v>37800</v>
      </c>
      <c r="I9" s="28">
        <v>15393.84</v>
      </c>
      <c r="J9" s="28"/>
      <c r="K9" s="522">
        <f>678*(1+CALC!B$13)</f>
        <v>759.36000000000013</v>
      </c>
      <c r="L9" s="28"/>
      <c r="M9" s="28">
        <f t="shared" si="0"/>
        <v>185321.60354289014</v>
      </c>
      <c r="N9" s="24">
        <f>M9/CALC!$A$8*CALC!$A$6</f>
        <v>3619.5117831866901</v>
      </c>
      <c r="O9" s="28">
        <f t="shared" si="1"/>
        <v>188941.11532607683</v>
      </c>
      <c r="P9" s="37">
        <v>6.67</v>
      </c>
      <c r="Q9" s="38"/>
    </row>
    <row r="10" spans="1:17" x14ac:dyDescent="0.2">
      <c r="A10" s="482" t="str">
        <f>+'1-10'!C13</f>
        <v>ISUZU KB200i 2x4 [083]</v>
      </c>
      <c r="B10" s="508" t="str">
        <f>+'1-10'!R13</f>
        <v>CMB 595 L</v>
      </c>
      <c r="C10" s="483">
        <v>612</v>
      </c>
      <c r="D10" s="6">
        <v>30000</v>
      </c>
      <c r="E10" s="514">
        <f>+D10/P10*(CALC!$A$4)</f>
        <v>105697.15142428786</v>
      </c>
      <c r="F10" s="28">
        <v>23400</v>
      </c>
      <c r="G10" s="28">
        <f>CALC!$A$23*(I10/CEM!I$148)</f>
        <v>2271.2521186022946</v>
      </c>
      <c r="H10" s="28">
        <f>35000*(1+CALC!B$14)</f>
        <v>37800</v>
      </c>
      <c r="I10" s="481">
        <v>15393.84</v>
      </c>
      <c r="J10" s="28"/>
      <c r="K10" s="522">
        <f>678*(1+CALC!B$13)</f>
        <v>759.36000000000013</v>
      </c>
      <c r="L10" s="28"/>
      <c r="M10" s="28">
        <f t="shared" si="0"/>
        <v>185321.60354289014</v>
      </c>
      <c r="N10" s="24">
        <f>M10/CALC!$A$8*CALC!$A$6</f>
        <v>3619.5117831866901</v>
      </c>
      <c r="O10" s="28">
        <f t="shared" si="1"/>
        <v>188941.11532607683</v>
      </c>
      <c r="P10" s="37">
        <v>6.67</v>
      </c>
      <c r="Q10" s="38"/>
    </row>
    <row r="11" spans="1:17" x14ac:dyDescent="0.2">
      <c r="A11" s="482" t="str">
        <f>+'1-10'!C16</f>
        <v>ISUZU KB200i 2x4 [073]</v>
      </c>
      <c r="B11" s="508" t="str">
        <f>+'1-10'!R16</f>
        <v>CMB 403 L</v>
      </c>
      <c r="C11" s="483">
        <v>615</v>
      </c>
      <c r="D11" s="6">
        <v>30000</v>
      </c>
      <c r="E11" s="514">
        <f>+D11/P11*(CALC!$A$4)</f>
        <v>105697.15142428786</v>
      </c>
      <c r="F11" s="28">
        <v>23400</v>
      </c>
      <c r="G11" s="28">
        <f>CALC!$A$23*(I11/CEM!I$148)</f>
        <v>2271.2521186022946</v>
      </c>
      <c r="H11" s="28">
        <f>35000*(1+CALC!B$14)</f>
        <v>37800</v>
      </c>
      <c r="I11" s="28">
        <v>15393.84</v>
      </c>
      <c r="J11" s="28"/>
      <c r="K11" s="522">
        <f>678*(1+CALC!B$13)</f>
        <v>759.36000000000013</v>
      </c>
      <c r="L11" s="28"/>
      <c r="M11" s="28">
        <f t="shared" si="0"/>
        <v>185321.60354289014</v>
      </c>
      <c r="N11" s="24">
        <f>M11/CALC!$A$8*CALC!$A$6</f>
        <v>3619.5117831866901</v>
      </c>
      <c r="O11" s="28">
        <f t="shared" si="1"/>
        <v>188941.11532607683</v>
      </c>
      <c r="P11" s="37">
        <v>6.67</v>
      </c>
      <c r="Q11" s="38"/>
    </row>
    <row r="12" spans="1:17" x14ac:dyDescent="0.2">
      <c r="A12" s="482" t="str">
        <f>+'1-10'!C18</f>
        <v>ISUZU KB200i 2x4 [093]</v>
      </c>
      <c r="B12" s="508" t="str">
        <f>+'1-10'!R18</f>
        <v>CMB 433 L</v>
      </c>
      <c r="C12" s="483">
        <v>617</v>
      </c>
      <c r="D12" s="6">
        <v>8000</v>
      </c>
      <c r="E12" s="47">
        <f>+D12/P12*(CALC!$A$4)</f>
        <v>28185.907046476765</v>
      </c>
      <c r="F12" s="28">
        <v>23400</v>
      </c>
      <c r="G12" s="28">
        <f>CALC!$A$23*(I12/CEM!I$148)</f>
        <v>2271.2521186022946</v>
      </c>
      <c r="H12" s="28">
        <f>35000*(1+CALC!B$14)</f>
        <v>37800</v>
      </c>
      <c r="I12" s="28">
        <v>15393.84</v>
      </c>
      <c r="J12" s="28"/>
      <c r="K12" s="522">
        <f>678*(1+CALC!B$13)</f>
        <v>759.36000000000013</v>
      </c>
      <c r="L12" s="28"/>
      <c r="M12" s="28">
        <f t="shared" si="0"/>
        <v>107810.35916507906</v>
      </c>
      <c r="N12" s="24">
        <f>M12/CALC!$A$8*CALC!$A$6</f>
        <v>2105.6415328139633</v>
      </c>
      <c r="O12" s="28">
        <f t="shared" si="1"/>
        <v>109916.00069789303</v>
      </c>
      <c r="P12" s="37">
        <v>6.67</v>
      </c>
      <c r="Q12" s="38"/>
    </row>
    <row r="13" spans="1:17" x14ac:dyDescent="0.2">
      <c r="A13" s="482" t="str">
        <f>+'1-10'!C19</f>
        <v>ISUZU KB200i 2x4 [093]</v>
      </c>
      <c r="B13" s="508" t="str">
        <f>+'1-10'!R19</f>
        <v>CMB 461 L</v>
      </c>
      <c r="C13" s="483">
        <v>618</v>
      </c>
      <c r="D13" s="494">
        <v>20000</v>
      </c>
      <c r="E13" s="515">
        <f>+D13/P13*(CALC!$A$4)</f>
        <v>70464.767616191908</v>
      </c>
      <c r="F13" s="28">
        <v>23400</v>
      </c>
      <c r="G13" s="28">
        <f>CALC!$A$23*(I13/CEM!I$148)</f>
        <v>2271.2521186022946</v>
      </c>
      <c r="H13" s="28">
        <f>35000*(1+CALC!B$14)</f>
        <v>37800</v>
      </c>
      <c r="I13" s="28">
        <v>15393.84</v>
      </c>
      <c r="J13" s="28"/>
      <c r="K13" s="522">
        <f>678*(1+CALC!B$13)</f>
        <v>759.36000000000013</v>
      </c>
      <c r="L13" s="412"/>
      <c r="M13" s="28">
        <f t="shared" si="0"/>
        <v>150089.2197347942</v>
      </c>
      <c r="N13" s="24">
        <f>M13/CALC!$A$8*CALC!$A$6</f>
        <v>2931.3889421081781</v>
      </c>
      <c r="O13" s="28">
        <f t="shared" si="1"/>
        <v>153020.60867690237</v>
      </c>
      <c r="P13" s="37">
        <v>6.67</v>
      </c>
      <c r="Q13" s="38"/>
    </row>
    <row r="14" spans="1:17" x14ac:dyDescent="0.2">
      <c r="A14" s="482" t="str">
        <f>+'1-10'!C22</f>
        <v>ISUZU KB200i 2x4 [073]</v>
      </c>
      <c r="B14" s="508" t="str">
        <f>+'1-10'!R22</f>
        <v>CMB 588 L</v>
      </c>
      <c r="C14" s="483">
        <v>621</v>
      </c>
      <c r="D14" s="6">
        <v>20000</v>
      </c>
      <c r="E14" s="514">
        <f>+D14/P14*(CALC!$A$4)</f>
        <v>70464.767616191908</v>
      </c>
      <c r="F14" s="28">
        <v>23400</v>
      </c>
      <c r="G14" s="28">
        <f>CALC!$A$23*(I14/CEM!I$148)</f>
        <v>2271.2521186022946</v>
      </c>
      <c r="H14" s="28">
        <f>35000*(1+CALC!B$14)</f>
        <v>37800</v>
      </c>
      <c r="I14" s="481">
        <v>15393.84</v>
      </c>
      <c r="J14" s="28"/>
      <c r="K14" s="522">
        <f>678*(1+CALC!B$13)</f>
        <v>759.36000000000013</v>
      </c>
      <c r="L14" s="28"/>
      <c r="M14" s="28">
        <f t="shared" si="0"/>
        <v>150089.2197347942</v>
      </c>
      <c r="N14" s="24">
        <f>M14/CALC!$A$8*CALC!$A$6</f>
        <v>2931.3889421081781</v>
      </c>
      <c r="O14" s="28">
        <f t="shared" si="1"/>
        <v>153020.60867690237</v>
      </c>
      <c r="P14" s="37">
        <v>6.67</v>
      </c>
      <c r="Q14" s="38"/>
    </row>
    <row r="15" spans="1:17" x14ac:dyDescent="0.2">
      <c r="A15" s="482" t="str">
        <f>+'1-10'!C23</f>
        <v>ISUZU KB200i 2x4 [073]</v>
      </c>
      <c r="B15" s="508" t="str">
        <f>+'1-10'!R23</f>
        <v>CMB 587 L</v>
      </c>
      <c r="C15" s="483">
        <v>622</v>
      </c>
      <c r="D15" s="6">
        <v>8000</v>
      </c>
      <c r="E15" s="514">
        <f>+D15/P15*(CALC!$A$4)</f>
        <v>28185.907046476765</v>
      </c>
      <c r="F15" s="28">
        <v>23400</v>
      </c>
      <c r="G15" s="28">
        <f>CALC!$A$23*(I15/CEM!I$148)</f>
        <v>2271.2521186022946</v>
      </c>
      <c r="H15" s="28">
        <f>35000*(1+CALC!B$14)</f>
        <v>37800</v>
      </c>
      <c r="I15" s="28">
        <v>15393.84</v>
      </c>
      <c r="J15" s="28"/>
      <c r="K15" s="522">
        <f>678*(1+CALC!B$13)</f>
        <v>759.36000000000013</v>
      </c>
      <c r="L15" s="28"/>
      <c r="M15" s="28">
        <f>SUM(E15:L15)</f>
        <v>107810.35916507906</v>
      </c>
      <c r="N15" s="24">
        <f>M15/CALC!$A$8*CALC!$A$6</f>
        <v>2105.6415328139633</v>
      </c>
      <c r="O15" s="28">
        <f>+M15+N15</f>
        <v>109916.00069789303</v>
      </c>
      <c r="P15" s="37">
        <v>6.67</v>
      </c>
      <c r="Q15" s="38"/>
    </row>
    <row r="16" spans="1:17" x14ac:dyDescent="0.2">
      <c r="A16" s="482" t="str">
        <f>+'1-10'!C24</f>
        <v>ISUZU KB200i 2x4 [073]</v>
      </c>
      <c r="B16" s="508" t="str">
        <f>+'1-10'!R24</f>
        <v>CMB 495 L</v>
      </c>
      <c r="C16" s="483">
        <v>623</v>
      </c>
      <c r="D16" s="6">
        <v>20000</v>
      </c>
      <c r="E16" s="514">
        <f>+D16/P16*(CALC!$A$4)</f>
        <v>70464.767616191908</v>
      </c>
      <c r="F16" s="28">
        <v>23400</v>
      </c>
      <c r="G16" s="28">
        <f>CALC!$A$23*(I16/CEM!I$148)</f>
        <v>2271.2521186022946</v>
      </c>
      <c r="H16" s="28">
        <f>35000*(1+CALC!B$14)</f>
        <v>37800</v>
      </c>
      <c r="I16" s="28">
        <v>15393.84</v>
      </c>
      <c r="J16" s="28"/>
      <c r="K16" s="522">
        <f>678*(1+CALC!B$13)</f>
        <v>759.36000000000013</v>
      </c>
      <c r="L16" s="28"/>
      <c r="M16" s="28">
        <f>SUM(E16:L16)</f>
        <v>150089.2197347942</v>
      </c>
      <c r="N16" s="24">
        <f>M16/CALC!$A$8*CALC!$A$6</f>
        <v>2931.3889421081781</v>
      </c>
      <c r="O16" s="28">
        <f>+M16+N16</f>
        <v>153020.60867690237</v>
      </c>
      <c r="P16" s="37">
        <v>6.67</v>
      </c>
      <c r="Q16" s="38"/>
    </row>
    <row r="17" spans="1:17" x14ac:dyDescent="0.2">
      <c r="A17" s="8"/>
      <c r="B17" s="8"/>
      <c r="C17" s="14"/>
      <c r="D17" s="6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23"/>
      <c r="Q17" s="16"/>
    </row>
    <row r="18" spans="1:17" s="7" customFormat="1" x14ac:dyDescent="0.2">
      <c r="B18" s="3" t="s">
        <v>14</v>
      </c>
      <c r="C18" s="18"/>
      <c r="D18" s="12">
        <f>SUM(D7:D17)</f>
        <v>216000</v>
      </c>
      <c r="E18" s="10">
        <f>SUM(E7:E17)</f>
        <v>761019.49025487259</v>
      </c>
      <c r="F18" s="10">
        <f t="shared" ref="F18:K18" si="2">SUM(F7:F17)</f>
        <v>234000</v>
      </c>
      <c r="G18" s="10">
        <f t="shared" si="2"/>
        <v>22088.823324195149</v>
      </c>
      <c r="H18" s="10">
        <f t="shared" si="2"/>
        <v>378000</v>
      </c>
      <c r="I18" s="10">
        <f t="shared" si="2"/>
        <v>149711.16999999998</v>
      </c>
      <c r="J18" s="10">
        <f t="shared" si="2"/>
        <v>0</v>
      </c>
      <c r="K18" s="10">
        <f t="shared" si="2"/>
        <v>7593.6000000000022</v>
      </c>
      <c r="L18" s="10">
        <f>SUM(L7:L17)</f>
        <v>0</v>
      </c>
      <c r="M18" s="10">
        <f>SUM(M7:M17)</f>
        <v>1552413.0835790676</v>
      </c>
      <c r="N18" s="10">
        <f>M18/CALC!$A$8*CALC!$A$6</f>
        <v>30320.142611366857</v>
      </c>
      <c r="O18" s="10">
        <f>+M18+N18</f>
        <v>1582733.2261904345</v>
      </c>
      <c r="P18" s="25"/>
      <c r="Q18" s="110">
        <f>(+O18/D18)*(1+CALC!$A$3)</f>
        <v>7.3274686397705304</v>
      </c>
    </row>
    <row r="19" spans="1:17" s="7" customFormat="1" ht="10.8" thickBot="1" x14ac:dyDescent="0.25">
      <c r="C19" s="29"/>
      <c r="D19" s="30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27"/>
    </row>
    <row r="20" spans="1:17" ht="10.8" thickBot="1" x14ac:dyDescent="0.25">
      <c r="A20" s="283" t="s">
        <v>10</v>
      </c>
      <c r="B20" s="284" t="s">
        <v>452</v>
      </c>
      <c r="D20" s="556" t="s">
        <v>200</v>
      </c>
      <c r="E20" s="557"/>
      <c r="F20" s="558"/>
      <c r="Q20" s="16"/>
    </row>
    <row r="21" spans="1:17" x14ac:dyDescent="0.2">
      <c r="Q21" s="16"/>
    </row>
    <row r="22" spans="1:17" x14ac:dyDescent="0.2">
      <c r="A22" s="485" t="str">
        <f>+'1-10'!C46</f>
        <v>NISSAN NP 300 4X4 [073]</v>
      </c>
      <c r="B22" s="508" t="str">
        <f>+'1-10'!R46</f>
        <v>CLW 834 L</v>
      </c>
      <c r="C22" s="483">
        <v>645</v>
      </c>
      <c r="D22" s="6">
        <v>15000</v>
      </c>
      <c r="E22" s="47">
        <f>+D22/P22*(CALC!$A$4)</f>
        <v>38778.877887788782</v>
      </c>
      <c r="F22" s="28">
        <v>23400</v>
      </c>
      <c r="G22" s="28">
        <f>CALC!$A$23*(I22/CEM!I$148)</f>
        <v>3205.7579960365174</v>
      </c>
      <c r="H22" s="28">
        <f>35000*(1+CALC!B$14)</f>
        <v>37800</v>
      </c>
      <c r="I22" s="481">
        <v>21727.63</v>
      </c>
      <c r="J22" s="28"/>
      <c r="K22" s="522">
        <f>678*(1+CALC!B$13)</f>
        <v>759.36000000000013</v>
      </c>
      <c r="L22" s="28"/>
      <c r="M22" s="28">
        <f>SUM(E22:L22)</f>
        <v>125671.62588382531</v>
      </c>
      <c r="N22" s="24">
        <f>M22/CALC!$A$8*CALC!$A$6</f>
        <v>2454.4895036668604</v>
      </c>
      <c r="O22" s="28">
        <f>+M22+N22</f>
        <v>128126.11538749217</v>
      </c>
      <c r="P22" s="37">
        <v>9.09</v>
      </c>
      <c r="Q22" s="40"/>
    </row>
    <row r="23" spans="1:17" x14ac:dyDescent="0.2">
      <c r="A23" s="485" t="str">
        <f>+'1-10'!C47</f>
        <v>NISSAN NP 300 4X4 [073]</v>
      </c>
      <c r="B23" s="508" t="str">
        <f>+'1-10'!R47</f>
        <v>CLW 868 L</v>
      </c>
      <c r="C23" s="483">
        <v>646</v>
      </c>
      <c r="D23" s="6">
        <v>15000</v>
      </c>
      <c r="E23" s="514">
        <f>+D23/P23*(CALC!$A$4)</f>
        <v>38778.877887788782</v>
      </c>
      <c r="F23" s="28">
        <v>23400</v>
      </c>
      <c r="G23" s="28">
        <f>CALC!$A$23*(I23/CEM!I$148)</f>
        <v>3197.9574018046355</v>
      </c>
      <c r="H23" s="28">
        <f>35000*(1+CALC!B$14)</f>
        <v>37800</v>
      </c>
      <c r="I23" s="481">
        <v>21674.76</v>
      </c>
      <c r="J23" s="28"/>
      <c r="K23" s="522">
        <f>678*(1+CALC!B$13)</f>
        <v>759.36000000000013</v>
      </c>
      <c r="L23" s="28"/>
      <c r="M23" s="28">
        <f>SUM(E23:L23)</f>
        <v>125610.9552895934</v>
      </c>
      <c r="N23" s="24">
        <f>M23/CALC!$A$8*CALC!$A$6</f>
        <v>2453.3045477495948</v>
      </c>
      <c r="O23" s="28">
        <f>+M23+N23</f>
        <v>128064.25983734299</v>
      </c>
      <c r="P23" s="37">
        <v>9.09</v>
      </c>
      <c r="Q23" s="40"/>
    </row>
    <row r="24" spans="1:17" x14ac:dyDescent="0.2">
      <c r="A24" s="485" t="str">
        <f>+'1-10'!C49</f>
        <v>NISSAN NP 300 4X4 [073]</v>
      </c>
      <c r="B24" s="508" t="str">
        <f>+'1-10'!R49</f>
        <v>CLW 542 L</v>
      </c>
      <c r="C24" s="483">
        <v>648</v>
      </c>
      <c r="D24" s="6">
        <v>15000</v>
      </c>
      <c r="E24" s="514">
        <f>+D24/P24*(CALC!$A$4)</f>
        <v>38778.877887788782</v>
      </c>
      <c r="F24" s="28">
        <v>23400</v>
      </c>
      <c r="G24" s="28">
        <f>CALC!$A$23*(I24/CEM!I$148)</f>
        <v>3349.1387312095812</v>
      </c>
      <c r="H24" s="28">
        <f>35000*(1+CALC!B$14)</f>
        <v>37800</v>
      </c>
      <c r="I24" s="28">
        <v>22699.42</v>
      </c>
      <c r="J24" s="28"/>
      <c r="K24" s="522">
        <f>678*(1+CALC!B$13)</f>
        <v>759.36000000000013</v>
      </c>
      <c r="L24" s="28"/>
      <c r="M24" s="28">
        <f>SUM(E24:L24)</f>
        <v>126786.79661899837</v>
      </c>
      <c r="N24" s="24">
        <f>M24/CALC!$A$8*CALC!$A$6</f>
        <v>2476.2698764839438</v>
      </c>
      <c r="O24" s="28">
        <f>+M24+N24</f>
        <v>129263.06649548232</v>
      </c>
      <c r="P24" s="37">
        <v>9.09</v>
      </c>
      <c r="Q24" s="40"/>
    </row>
    <row r="25" spans="1:17" s="7" customFormat="1" x14ac:dyDescent="0.2">
      <c r="A25" s="309"/>
      <c r="B25" s="3" t="s">
        <v>14</v>
      </c>
      <c r="C25" s="18"/>
      <c r="D25" s="12">
        <f t="shared" ref="D25:M25" si="3">SUM(D22:D24)</f>
        <v>45000</v>
      </c>
      <c r="E25" s="10">
        <f t="shared" si="3"/>
        <v>116336.63366336634</v>
      </c>
      <c r="F25" s="10">
        <f t="shared" si="3"/>
        <v>70200</v>
      </c>
      <c r="G25" s="10">
        <f t="shared" si="3"/>
        <v>9752.8541290507346</v>
      </c>
      <c r="H25" s="10">
        <f t="shared" si="3"/>
        <v>113400</v>
      </c>
      <c r="I25" s="10">
        <f t="shared" si="3"/>
        <v>66101.81</v>
      </c>
      <c r="J25" s="10">
        <f t="shared" si="3"/>
        <v>0</v>
      </c>
      <c r="K25" s="10">
        <f t="shared" si="3"/>
        <v>2278.0800000000004</v>
      </c>
      <c r="L25" s="500"/>
      <c r="M25" s="10">
        <f t="shared" si="3"/>
        <v>378069.37779241707</v>
      </c>
      <c r="N25" s="10">
        <f>M25/CALC!$A$8*CALC!$A$6</f>
        <v>7384.063927900399</v>
      </c>
      <c r="O25" s="10">
        <f>+M25+N25</f>
        <v>385453.44172031747</v>
      </c>
      <c r="P25" s="25"/>
      <c r="Q25" s="110">
        <f>(+O25/D25)*(1+CALC!$A$3)</f>
        <v>8.5656320382292765</v>
      </c>
    </row>
    <row r="26" spans="1:17" ht="10.8" thickBot="1" x14ac:dyDescent="0.25">
      <c r="Q26" s="123"/>
    </row>
    <row r="27" spans="1:17" ht="10.8" thickBot="1" x14ac:dyDescent="0.25">
      <c r="A27" s="283" t="s">
        <v>10</v>
      </c>
      <c r="B27" s="284" t="s">
        <v>453</v>
      </c>
      <c r="D27" s="556" t="s">
        <v>625</v>
      </c>
      <c r="E27" s="557"/>
      <c r="F27" s="558"/>
      <c r="Q27" s="16"/>
    </row>
    <row r="28" spans="1:17" x14ac:dyDescent="0.2">
      <c r="A28" s="8"/>
      <c r="B28" s="8"/>
      <c r="C28" s="14"/>
      <c r="D28" s="6"/>
      <c r="E28" s="47"/>
      <c r="F28" s="28"/>
      <c r="G28" s="28"/>
      <c r="H28" s="28"/>
      <c r="I28" s="28"/>
      <c r="J28" s="28"/>
      <c r="K28" s="28"/>
      <c r="L28" s="28"/>
      <c r="M28" s="28"/>
      <c r="N28" s="24"/>
      <c r="O28" s="28"/>
      <c r="P28" s="37"/>
      <c r="Q28" s="27"/>
    </row>
    <row r="29" spans="1:17" s="7" customFormat="1" x14ac:dyDescent="0.2">
      <c r="A29" s="485" t="str">
        <f>+'1-10'!C65</f>
        <v>NISSAN   UD 40A M02 [073]</v>
      </c>
      <c r="B29" s="538" t="str">
        <f>+'1-10'!R65</f>
        <v>CMN 476 L</v>
      </c>
      <c r="C29" s="498">
        <v>664</v>
      </c>
      <c r="D29" s="12">
        <v>15000</v>
      </c>
      <c r="E29" s="518">
        <f>+D29/P29*(CALC!$A$4)</f>
        <v>176250</v>
      </c>
      <c r="F29" s="24">
        <v>23400</v>
      </c>
      <c r="G29" s="28">
        <f>CALC!$A$23*(I29/CEM!I$148)</f>
        <v>4326.3317265399237</v>
      </c>
      <c r="H29" s="24">
        <f>70000*(1+CALC!B$14)</f>
        <v>75600</v>
      </c>
      <c r="I29" s="24">
        <v>29322.53</v>
      </c>
      <c r="J29" s="24"/>
      <c r="K29" s="522">
        <f>1932*(1+CALC!B$13)</f>
        <v>2163.84</v>
      </c>
      <c r="L29" s="28"/>
      <c r="M29" s="24">
        <f>SUM(E29:L29)</f>
        <v>311062.70172653993</v>
      </c>
      <c r="N29" s="24">
        <f>M29/CALC!$A$8*CALC!$A$6</f>
        <v>6075.3581486711291</v>
      </c>
      <c r="O29" s="24">
        <f>+M29+N29</f>
        <v>317138.05987521104</v>
      </c>
      <c r="P29" s="39">
        <v>2</v>
      </c>
      <c r="Q29" s="40"/>
    </row>
    <row r="30" spans="1:17" s="7" customFormat="1" x14ac:dyDescent="0.2">
      <c r="B30" s="3" t="s">
        <v>14</v>
      </c>
      <c r="C30" s="18"/>
      <c r="D30" s="12">
        <f t="shared" ref="D30:K30" si="4">SUM(D28:D29)</f>
        <v>15000</v>
      </c>
      <c r="E30" s="10">
        <f t="shared" si="4"/>
        <v>176250</v>
      </c>
      <c r="F30" s="10">
        <f t="shared" si="4"/>
        <v>23400</v>
      </c>
      <c r="G30" s="24">
        <f>6057.27*(1+CALC!$A$2)</f>
        <v>4694.3842500000001</v>
      </c>
      <c r="H30" s="24">
        <f>H29</f>
        <v>75600</v>
      </c>
      <c r="I30" s="10">
        <f t="shared" si="4"/>
        <v>29322.53</v>
      </c>
      <c r="J30" s="10">
        <f t="shared" si="4"/>
        <v>0</v>
      </c>
      <c r="K30" s="10">
        <f t="shared" si="4"/>
        <v>2163.84</v>
      </c>
      <c r="L30" s="10">
        <f>SUM(L29)</f>
        <v>0</v>
      </c>
      <c r="M30" s="10">
        <f>SUM(M28:M29)</f>
        <v>311062.70172653993</v>
      </c>
      <c r="N30" s="10">
        <f>M30/CALC!$A$8*CALC!$A$6</f>
        <v>6075.3581486711291</v>
      </c>
      <c r="O30" s="10">
        <f>+M30+N30</f>
        <v>317138.05987521104</v>
      </c>
      <c r="P30" s="25"/>
      <c r="Q30" s="110">
        <f>(+O30/D30)*(1+CALC!$A$3)</f>
        <v>21.142537325014068</v>
      </c>
    </row>
    <row r="31" spans="1:17" ht="10.8" thickBot="1" x14ac:dyDescent="0.25">
      <c r="Q31" s="16"/>
    </row>
    <row r="32" spans="1:17" ht="10.8" thickBot="1" x14ac:dyDescent="0.25">
      <c r="A32" s="283" t="s">
        <v>10</v>
      </c>
      <c r="B32" s="284" t="s">
        <v>454</v>
      </c>
      <c r="D32" s="556" t="s">
        <v>628</v>
      </c>
      <c r="E32" s="557"/>
      <c r="F32" s="558"/>
      <c r="Q32" s="16"/>
    </row>
    <row r="33" spans="1:17" x14ac:dyDescent="0.2">
      <c r="Q33" s="16"/>
    </row>
    <row r="34" spans="1:17" x14ac:dyDescent="0.2">
      <c r="A34" s="487" t="str">
        <f>+'1-10'!C82</f>
        <v>NISSAN  UD 85   TIPPER [063]</v>
      </c>
      <c r="B34" s="508" t="str">
        <f>+'1-10'!R82</f>
        <v>CMX 083 L</v>
      </c>
      <c r="C34" s="483">
        <v>681</v>
      </c>
      <c r="D34" s="6">
        <v>15000</v>
      </c>
      <c r="E34" s="514">
        <f>+D34/P34*(CALC!$A$4)</f>
        <v>235000</v>
      </c>
      <c r="F34" s="28">
        <v>23400</v>
      </c>
      <c r="G34" s="28">
        <f>CALC!$A$23*(I34/CEM!I$148)</f>
        <v>7833.8120451093064</v>
      </c>
      <c r="H34" s="24">
        <f>95000*(1+CALC!B$14)</f>
        <v>102600</v>
      </c>
      <c r="I34" s="28">
        <v>53095.14</v>
      </c>
      <c r="J34" s="28"/>
      <c r="K34" s="522">
        <f>8358*(1+CALC!B$13)</f>
        <v>9360.9600000000009</v>
      </c>
      <c r="L34" s="499"/>
      <c r="M34" s="28">
        <f>SUM(E34:L34)</f>
        <v>431289.91204510932</v>
      </c>
      <c r="N34" s="24">
        <f>M34/CALC!$A$8*CALC!$A$6</f>
        <v>8423.5129028307729</v>
      </c>
      <c r="O34" s="28">
        <f>+M34+N34</f>
        <v>439713.4249479401</v>
      </c>
      <c r="P34" s="37">
        <v>1.5</v>
      </c>
      <c r="Q34" s="40"/>
    </row>
    <row r="35" spans="1:17" s="7" customFormat="1" x14ac:dyDescent="0.2">
      <c r="B35" s="3" t="s">
        <v>14</v>
      </c>
      <c r="C35" s="18"/>
      <c r="D35" s="12">
        <f t="shared" ref="D35:K35" si="5">SUM(D34:D34)</f>
        <v>15000</v>
      </c>
      <c r="E35" s="24">
        <f t="shared" si="5"/>
        <v>235000</v>
      </c>
      <c r="F35" s="24">
        <f t="shared" si="5"/>
        <v>23400</v>
      </c>
      <c r="G35" s="24">
        <f t="shared" si="5"/>
        <v>7833.8120451093064</v>
      </c>
      <c r="H35" s="24">
        <f t="shared" si="5"/>
        <v>102600</v>
      </c>
      <c r="I35" s="24">
        <f t="shared" si="5"/>
        <v>53095.14</v>
      </c>
      <c r="J35" s="24">
        <f t="shared" si="5"/>
        <v>0</v>
      </c>
      <c r="K35" s="24">
        <f t="shared" si="5"/>
        <v>9360.9600000000009</v>
      </c>
      <c r="L35" s="24">
        <f>SUM(L34)</f>
        <v>0</v>
      </c>
      <c r="M35" s="24">
        <f>SUM(M34:M34)</f>
        <v>431289.91204510932</v>
      </c>
      <c r="N35" s="24">
        <f>M35/CALC!$A$8*CALC!$A$6</f>
        <v>8423.5129028307729</v>
      </c>
      <c r="O35" s="24">
        <f>+M35+N35</f>
        <v>439713.4249479401</v>
      </c>
      <c r="P35" s="39"/>
      <c r="Q35" s="40">
        <f>(+O35/D35)*(1+CALC!$A$3)</f>
        <v>29.314228329862672</v>
      </c>
    </row>
    <row r="36" spans="1:17" ht="10.8" thickBot="1" x14ac:dyDescent="0.25">
      <c r="Q36" s="16"/>
    </row>
    <row r="37" spans="1:17" ht="10.8" thickBot="1" x14ac:dyDescent="0.25">
      <c r="A37" s="283" t="s">
        <v>10</v>
      </c>
      <c r="B37" s="284" t="s">
        <v>638</v>
      </c>
      <c r="D37" s="556" t="s">
        <v>629</v>
      </c>
      <c r="E37" s="557"/>
      <c r="F37" s="558"/>
      <c r="Q37" s="16"/>
    </row>
    <row r="38" spans="1:17" x14ac:dyDescent="0.2">
      <c r="A38" s="8"/>
      <c r="B38" s="8"/>
      <c r="C38" s="14"/>
      <c r="D38" s="6"/>
      <c r="E38" s="47"/>
      <c r="F38" s="28"/>
      <c r="G38" s="28"/>
      <c r="H38" s="28"/>
      <c r="I38" s="28"/>
      <c r="J38" s="28"/>
      <c r="K38" s="28"/>
      <c r="L38" s="28"/>
      <c r="M38" s="28"/>
      <c r="N38" s="24"/>
      <c r="O38" s="28"/>
      <c r="P38" s="37"/>
      <c r="Q38" s="27"/>
    </row>
    <row r="39" spans="1:17" x14ac:dyDescent="0.2">
      <c r="A39" s="495" t="str">
        <f>+'1-10'!C87</f>
        <v>NISSAN  UD 80  HONEY SUCKER [093]</v>
      </c>
      <c r="B39" s="508" t="str">
        <f>+'1-10'!R87</f>
        <v>CNK 292 L</v>
      </c>
      <c r="C39" s="483">
        <v>686</v>
      </c>
      <c r="D39" s="6">
        <v>25000</v>
      </c>
      <c r="E39" s="514">
        <f>+D39/P39*(CALC!$A$4)</f>
        <v>391666.66666666669</v>
      </c>
      <c r="F39" s="28">
        <v>23400</v>
      </c>
      <c r="G39" s="28">
        <f>CALC!$A$23*(I39/CEM!I$148)</f>
        <v>7601.4201411419981</v>
      </c>
      <c r="H39" s="24">
        <f>95000*(1+CALC!B$14)</f>
        <v>102600</v>
      </c>
      <c r="I39" s="28">
        <v>51520.06</v>
      </c>
      <c r="J39" s="28"/>
      <c r="K39" s="522">
        <f>9492*(1+CALC!B$13)</f>
        <v>10631.04</v>
      </c>
      <c r="L39" s="28"/>
      <c r="M39" s="28">
        <f>SUM(E39:L39)</f>
        <v>587419.1868078087</v>
      </c>
      <c r="N39" s="28">
        <f>M39/CALC!$A$8*CALC!$A$6</f>
        <v>11472.870014470462</v>
      </c>
      <c r="O39" s="28">
        <f>+M39+N39</f>
        <v>598892.05682227912</v>
      </c>
      <c r="P39" s="37">
        <v>1.5</v>
      </c>
      <c r="Q39" s="125"/>
    </row>
    <row r="40" spans="1:17" s="7" customFormat="1" x14ac:dyDescent="0.2">
      <c r="B40" s="3" t="s">
        <v>14</v>
      </c>
      <c r="C40" s="18"/>
      <c r="D40" s="12">
        <f t="shared" ref="D40:K40" si="6">SUM(D38:D39)</f>
        <v>25000</v>
      </c>
      <c r="E40" s="10">
        <f t="shared" si="6"/>
        <v>391666.66666666669</v>
      </c>
      <c r="F40" s="10">
        <f t="shared" si="6"/>
        <v>23400</v>
      </c>
      <c r="G40" s="10">
        <f t="shared" si="6"/>
        <v>7601.4201411419981</v>
      </c>
      <c r="H40" s="10">
        <f t="shared" si="6"/>
        <v>102600</v>
      </c>
      <c r="I40" s="10">
        <f t="shared" si="6"/>
        <v>51520.06</v>
      </c>
      <c r="J40" s="10">
        <f t="shared" si="6"/>
        <v>0</v>
      </c>
      <c r="K40" s="10">
        <f t="shared" si="6"/>
        <v>10631.04</v>
      </c>
      <c r="L40" s="10">
        <f>SUM(L39)</f>
        <v>0</v>
      </c>
      <c r="M40" s="10">
        <f>SUM(M38:M39)</f>
        <v>587419.1868078087</v>
      </c>
      <c r="N40" s="10">
        <f>M40/CALC!$A$8*CALC!$A$6</f>
        <v>11472.870014470462</v>
      </c>
      <c r="O40" s="10">
        <f>+M40+N40</f>
        <v>598892.05682227912</v>
      </c>
      <c r="P40" s="25"/>
      <c r="Q40" s="110">
        <f>(+O40/D40)*(1+CALC!$A$3)</f>
        <v>23.955682272891163</v>
      </c>
    </row>
    <row r="41" spans="1:17" ht="10.8" thickBot="1" x14ac:dyDescent="0.25">
      <c r="Q41" s="16"/>
    </row>
    <row r="42" spans="1:17" ht="10.8" thickBot="1" x14ac:dyDescent="0.25">
      <c r="A42" s="283" t="s">
        <v>10</v>
      </c>
      <c r="B42" s="284" t="s">
        <v>455</v>
      </c>
      <c r="D42" s="556" t="s">
        <v>630</v>
      </c>
      <c r="E42" s="557"/>
      <c r="F42" s="558"/>
      <c r="Q42" s="16"/>
    </row>
    <row r="43" spans="1:17" x14ac:dyDescent="0.2">
      <c r="A43" s="8"/>
      <c r="B43" s="8"/>
      <c r="C43" s="14"/>
      <c r="D43" s="6"/>
      <c r="E43" s="47"/>
      <c r="F43" s="28"/>
      <c r="G43" s="28"/>
      <c r="H43" s="28"/>
      <c r="I43" s="28"/>
      <c r="J43" s="28"/>
      <c r="K43" s="28"/>
      <c r="L43" s="28"/>
      <c r="M43" s="28"/>
      <c r="N43" s="24"/>
      <c r="O43" s="28"/>
      <c r="P43" s="37"/>
      <c r="Q43" s="27"/>
    </row>
    <row r="44" spans="1:17" s="7" customFormat="1" x14ac:dyDescent="0.2">
      <c r="A44" s="487" t="str">
        <f>+'1-10'!C88</f>
        <v>NISSAN  UD 80 WATER TANKER [073]</v>
      </c>
      <c r="B44" s="538" t="str">
        <f>+'1-10'!R88</f>
        <v>CNV 357 L</v>
      </c>
      <c r="C44" s="498">
        <v>687</v>
      </c>
      <c r="D44" s="12">
        <v>35000</v>
      </c>
      <c r="E44" s="518">
        <f>+D44/P44*(CALC!$A$4)</f>
        <v>548333.33333333326</v>
      </c>
      <c r="F44" s="24">
        <v>23400</v>
      </c>
      <c r="G44" s="28">
        <f>CALC!$A$23*(I44/CEM!I$148)</f>
        <v>7055.0878853559907</v>
      </c>
      <c r="H44" s="24">
        <f>95000*(1+CALC!B$14)</f>
        <v>102600</v>
      </c>
      <c r="I44" s="24">
        <v>47817.19</v>
      </c>
      <c r="J44" s="24"/>
      <c r="K44" s="524">
        <f>7770*(1+CALC!B$13)</f>
        <v>8702.4000000000015</v>
      </c>
      <c r="L44" s="28"/>
      <c r="M44" s="24">
        <f>SUM(E44:L44)</f>
        <v>737908.01121868927</v>
      </c>
      <c r="N44" s="24">
        <f>M44/CALC!$A$8*CALC!$A$6</f>
        <v>14412.063625899755</v>
      </c>
      <c r="O44" s="24">
        <f>+M44+N44</f>
        <v>752320.07484458899</v>
      </c>
      <c r="P44" s="39">
        <v>1.5</v>
      </c>
      <c r="Q44" s="40"/>
    </row>
    <row r="45" spans="1:17" s="7" customFormat="1" x14ac:dyDescent="0.2">
      <c r="B45" s="3" t="s">
        <v>14</v>
      </c>
      <c r="C45" s="18"/>
      <c r="D45" s="12">
        <f t="shared" ref="D45:K45" si="7">SUM(D43:D44)</f>
        <v>35000</v>
      </c>
      <c r="E45" s="10">
        <f t="shared" si="7"/>
        <v>548333.33333333326</v>
      </c>
      <c r="F45" s="10">
        <f t="shared" si="7"/>
        <v>23400</v>
      </c>
      <c r="G45" s="10">
        <f t="shared" si="7"/>
        <v>7055.0878853559907</v>
      </c>
      <c r="H45" s="10">
        <f t="shared" si="7"/>
        <v>102600</v>
      </c>
      <c r="I45" s="10">
        <f t="shared" si="7"/>
        <v>47817.19</v>
      </c>
      <c r="J45" s="10">
        <f t="shared" si="7"/>
        <v>0</v>
      </c>
      <c r="K45" s="10">
        <f t="shared" si="7"/>
        <v>8702.4000000000015</v>
      </c>
      <c r="L45" s="10">
        <f>SUM(L44)</f>
        <v>0</v>
      </c>
      <c r="M45" s="10">
        <f>SUM(M43:M44)</f>
        <v>737908.01121868927</v>
      </c>
      <c r="N45" s="10">
        <f>M45/CALC!$A$8*CALC!$A$6</f>
        <v>14412.063625899755</v>
      </c>
      <c r="O45" s="10">
        <f>+M45+N45</f>
        <v>752320.07484458899</v>
      </c>
      <c r="P45" s="25"/>
      <c r="Q45" s="110">
        <f>(+O45/D45)*(1+CALC!$A$3)</f>
        <v>21.494859281273971</v>
      </c>
    </row>
    <row r="46" spans="1:17" x14ac:dyDescent="0.2">
      <c r="Q46" s="16"/>
    </row>
    <row r="47" spans="1:17" ht="10.8" thickBot="1" x14ac:dyDescent="0.25">
      <c r="Q47" s="16"/>
    </row>
    <row r="48" spans="1:17" ht="10.8" thickBot="1" x14ac:dyDescent="0.25">
      <c r="A48" s="283" t="s">
        <v>10</v>
      </c>
      <c r="B48" s="284" t="s">
        <v>116</v>
      </c>
      <c r="D48" s="556" t="s">
        <v>120</v>
      </c>
      <c r="E48" s="557"/>
      <c r="F48" s="558"/>
      <c r="Q48" s="16"/>
    </row>
    <row r="49" spans="1:17" x14ac:dyDescent="0.2">
      <c r="Q49" s="16"/>
    </row>
    <row r="50" spans="1:17" s="469" customFormat="1" x14ac:dyDescent="0.2">
      <c r="A50" s="503" t="s">
        <v>1515</v>
      </c>
      <c r="B50" s="503" t="s">
        <v>1516</v>
      </c>
      <c r="C50" s="504">
        <v>117</v>
      </c>
      <c r="D50" s="463">
        <v>0</v>
      </c>
      <c r="E50" s="470">
        <f>+D50/P50*(CALC!$A$4)</f>
        <v>0</v>
      </c>
      <c r="F50" s="465">
        <v>0</v>
      </c>
      <c r="G50" s="466">
        <v>0</v>
      </c>
      <c r="H50" s="466">
        <v>0</v>
      </c>
      <c r="I50" s="465"/>
      <c r="J50" s="465"/>
      <c r="K50" s="465">
        <v>0</v>
      </c>
      <c r="L50" s="465"/>
      <c r="M50" s="465">
        <f>SUM(E50:L50)</f>
        <v>0</v>
      </c>
      <c r="N50" s="466">
        <f>M50/CALC!$A$8*CALC!$A$6</f>
        <v>0</v>
      </c>
      <c r="O50" s="465">
        <f>+M50+N50</f>
        <v>0</v>
      </c>
      <c r="P50" s="467">
        <v>0.27</v>
      </c>
      <c r="Q50" s="478"/>
    </row>
    <row r="51" spans="1:17" x14ac:dyDescent="0.2">
      <c r="A51" s="8"/>
      <c r="B51" s="8"/>
      <c r="C51" s="14"/>
      <c r="D51" s="6"/>
      <c r="E51" s="22"/>
      <c r="F51" s="9"/>
      <c r="G51" s="9"/>
      <c r="H51" s="9"/>
      <c r="I51" s="9"/>
      <c r="J51" s="9"/>
      <c r="K51" s="9"/>
      <c r="L51" s="9"/>
      <c r="M51" s="9"/>
      <c r="N51" s="9"/>
      <c r="O51" s="9"/>
      <c r="P51" s="23"/>
      <c r="Q51" s="16"/>
    </row>
    <row r="52" spans="1:17" s="7" customFormat="1" x14ac:dyDescent="0.2">
      <c r="B52" s="3" t="s">
        <v>14</v>
      </c>
      <c r="C52" s="18"/>
      <c r="D52" s="12">
        <f t="shared" ref="D52:M52" si="8">SUM(D50:D51)</f>
        <v>0</v>
      </c>
      <c r="E52" s="10">
        <f t="shared" si="8"/>
        <v>0</v>
      </c>
      <c r="F52" s="10">
        <f t="shared" si="8"/>
        <v>0</v>
      </c>
      <c r="G52" s="10">
        <f t="shared" si="8"/>
        <v>0</v>
      </c>
      <c r="H52" s="10">
        <f t="shared" si="8"/>
        <v>0</v>
      </c>
      <c r="I52" s="10">
        <f t="shared" si="8"/>
        <v>0</v>
      </c>
      <c r="J52" s="10">
        <f t="shared" si="8"/>
        <v>0</v>
      </c>
      <c r="K52" s="10">
        <f t="shared" si="8"/>
        <v>0</v>
      </c>
      <c r="L52" s="10"/>
      <c r="M52" s="10">
        <f t="shared" si="8"/>
        <v>0</v>
      </c>
      <c r="N52" s="10">
        <f>M52/CALC!$A$8*CALC!$A$6</f>
        <v>0</v>
      </c>
      <c r="O52" s="10">
        <f>+M52+N52</f>
        <v>0</v>
      </c>
      <c r="P52" s="25"/>
      <c r="Q52" s="110" t="e">
        <f>(+O52/D52)*(1+CALC!$A$3)</f>
        <v>#DIV/0!</v>
      </c>
    </row>
    <row r="53" spans="1:17" ht="10.8" thickBot="1" x14ac:dyDescent="0.25">
      <c r="Q53" s="16"/>
    </row>
    <row r="54" spans="1:17" ht="10.8" thickBot="1" x14ac:dyDescent="0.25">
      <c r="A54" s="283" t="s">
        <v>10</v>
      </c>
      <c r="B54" s="284" t="s">
        <v>117</v>
      </c>
      <c r="D54" s="556" t="s">
        <v>121</v>
      </c>
      <c r="E54" s="557"/>
      <c r="F54" s="558"/>
      <c r="Q54" s="16"/>
    </row>
    <row r="55" spans="1:17" x14ac:dyDescent="0.2">
      <c r="Q55" s="16"/>
    </row>
    <row r="56" spans="1:17" s="469" customFormat="1" x14ac:dyDescent="0.2">
      <c r="A56" s="462" t="s">
        <v>1484</v>
      </c>
      <c r="B56" s="462" t="s">
        <v>1485</v>
      </c>
      <c r="C56" s="333">
        <v>103</v>
      </c>
      <c r="D56" s="463">
        <v>100</v>
      </c>
      <c r="E56" s="470">
        <f>+D56/P56*(CALC!$A$4)</f>
        <v>3012.8205128205127</v>
      </c>
      <c r="F56" s="465">
        <v>3000</v>
      </c>
      <c r="G56" s="28">
        <f>CALC!$A$23*(I56/CEM!I$148)</f>
        <v>0</v>
      </c>
      <c r="H56" s="465">
        <f>5000*(1+CALC!B$14)</f>
        <v>5400</v>
      </c>
      <c r="I56" s="465"/>
      <c r="J56" s="465"/>
      <c r="K56" s="522">
        <f>168*(1+CALC!B$13)</f>
        <v>188.16000000000003</v>
      </c>
      <c r="L56" s="465"/>
      <c r="M56" s="465">
        <f>SUM(E56:L56)</f>
        <v>11600.980512820512</v>
      </c>
      <c r="N56" s="466">
        <f>M56/CALC!$A$8*CALC!$A$6</f>
        <v>226.57847147839419</v>
      </c>
      <c r="O56" s="465">
        <f>+M56+N56</f>
        <v>11827.558984298907</v>
      </c>
      <c r="P56" s="467">
        <v>0.78</v>
      </c>
      <c r="Q56" s="478"/>
    </row>
    <row r="57" spans="1:17" x14ac:dyDescent="0.2">
      <c r="A57" s="8"/>
      <c r="B57" s="8"/>
      <c r="C57" s="14"/>
      <c r="D57" s="6"/>
      <c r="E57" s="22"/>
      <c r="F57" s="9"/>
      <c r="G57" s="9"/>
      <c r="H57" s="9"/>
      <c r="I57" s="9"/>
      <c r="J57" s="9"/>
      <c r="K57" s="9"/>
      <c r="L57" s="9"/>
      <c r="M57" s="9"/>
      <c r="N57" s="9"/>
      <c r="O57" s="9"/>
      <c r="P57" s="23"/>
      <c r="Q57" s="16"/>
    </row>
    <row r="58" spans="1:17" s="7" customFormat="1" x14ac:dyDescent="0.2">
      <c r="B58" s="3" t="s">
        <v>14</v>
      </c>
      <c r="C58" s="18"/>
      <c r="D58" s="12">
        <f t="shared" ref="D58:M58" si="9">SUM(D56:D57)</f>
        <v>100</v>
      </c>
      <c r="E58" s="10">
        <f t="shared" si="9"/>
        <v>3012.8205128205127</v>
      </c>
      <c r="F58" s="10">
        <f t="shared" si="9"/>
        <v>3000</v>
      </c>
      <c r="G58" s="10">
        <f t="shared" si="9"/>
        <v>0</v>
      </c>
      <c r="H58" s="10">
        <f t="shared" si="9"/>
        <v>5400</v>
      </c>
      <c r="I58" s="10">
        <f t="shared" si="9"/>
        <v>0</v>
      </c>
      <c r="J58" s="10">
        <f t="shared" si="9"/>
        <v>0</v>
      </c>
      <c r="K58" s="10">
        <f t="shared" si="9"/>
        <v>188.16000000000003</v>
      </c>
      <c r="L58" s="10"/>
      <c r="M58" s="10">
        <f t="shared" si="9"/>
        <v>11600.980512820512</v>
      </c>
      <c r="N58" s="10">
        <f>M58/CALC!$A$8*CALC!$A$6</f>
        <v>226.57847147839419</v>
      </c>
      <c r="O58" s="10">
        <f>+M58+N58</f>
        <v>11827.558984298907</v>
      </c>
      <c r="P58" s="25"/>
      <c r="Q58" s="110">
        <f>(+O58/D58)*(1+CALC!$A$3)</f>
        <v>118.27558984298906</v>
      </c>
    </row>
    <row r="59" spans="1:17" ht="10.8" thickBot="1" x14ac:dyDescent="0.25">
      <c r="Q59" s="16"/>
    </row>
    <row r="60" spans="1:17" ht="10.8" thickBot="1" x14ac:dyDescent="0.25">
      <c r="A60" s="283" t="s">
        <v>10</v>
      </c>
      <c r="B60" s="284" t="s">
        <v>118</v>
      </c>
      <c r="D60" s="556" t="s">
        <v>32</v>
      </c>
      <c r="E60" s="557"/>
      <c r="F60" s="558"/>
      <c r="Q60" s="16"/>
    </row>
    <row r="61" spans="1:17" x14ac:dyDescent="0.2">
      <c r="Q61" s="16"/>
    </row>
    <row r="62" spans="1:17" s="469" customFormat="1" x14ac:dyDescent="0.2">
      <c r="A62" s="462" t="s">
        <v>90</v>
      </c>
      <c r="B62" s="479" t="s">
        <v>91</v>
      </c>
      <c r="C62" s="333">
        <v>328</v>
      </c>
      <c r="D62" s="463">
        <v>25000</v>
      </c>
      <c r="E62" s="470">
        <f>+D62/P62*(CALC!$A$4)</f>
        <v>587500</v>
      </c>
      <c r="F62" s="465">
        <v>3000</v>
      </c>
      <c r="G62" s="28">
        <f>CALC!$A$23*(I62/CEM!I$148)</f>
        <v>0</v>
      </c>
      <c r="H62" s="465">
        <f>40000*(1+CALC!B$14)</f>
        <v>43200</v>
      </c>
      <c r="I62" s="465"/>
      <c r="J62" s="465"/>
      <c r="K62" s="465">
        <f>10200*(1+CALC!B$13)</f>
        <v>11424.000000000002</v>
      </c>
      <c r="L62" s="465"/>
      <c r="M62" s="465">
        <f>SUM(E62:L62)</f>
        <v>645124</v>
      </c>
      <c r="N62" s="466">
        <f>M62/CALC!$A$8*CALC!$A$6</f>
        <v>12599.901333554555</v>
      </c>
      <c r="O62" s="465">
        <f>+M62+N62</f>
        <v>657723.90133355453</v>
      </c>
      <c r="P62" s="467">
        <v>1</v>
      </c>
      <c r="Q62" s="478"/>
    </row>
    <row r="63" spans="1:17" x14ac:dyDescent="0.2">
      <c r="A63" s="36"/>
      <c r="B63" s="8"/>
      <c r="C63" s="14"/>
      <c r="D63" s="6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23"/>
      <c r="Q63" s="16"/>
    </row>
    <row r="64" spans="1:17" s="7" customFormat="1" x14ac:dyDescent="0.2">
      <c r="B64" s="3" t="s">
        <v>14</v>
      </c>
      <c r="C64" s="18"/>
      <c r="D64" s="12">
        <f t="shared" ref="D64:M64" si="10">SUM(D62:D63)</f>
        <v>25000</v>
      </c>
      <c r="E64" s="10">
        <f t="shared" si="10"/>
        <v>587500</v>
      </c>
      <c r="F64" s="10">
        <f t="shared" si="10"/>
        <v>3000</v>
      </c>
      <c r="G64" s="10">
        <f t="shared" si="10"/>
        <v>0</v>
      </c>
      <c r="H64" s="10">
        <f t="shared" si="10"/>
        <v>43200</v>
      </c>
      <c r="I64" s="10">
        <f t="shared" si="10"/>
        <v>0</v>
      </c>
      <c r="J64" s="10">
        <f t="shared" si="10"/>
        <v>0</v>
      </c>
      <c r="K64" s="10">
        <f t="shared" si="10"/>
        <v>11424.000000000002</v>
      </c>
      <c r="L64" s="10"/>
      <c r="M64" s="10">
        <f t="shared" si="10"/>
        <v>645124</v>
      </c>
      <c r="N64" s="10">
        <f>M64/CALC!$A$8*CALC!$A$6</f>
        <v>12599.901333554555</v>
      </c>
      <c r="O64" s="10">
        <f>+M64+N64</f>
        <v>657723.90133355453</v>
      </c>
      <c r="P64" s="25"/>
      <c r="Q64" s="110">
        <f>(+O64/D64)*(1+CALC!$A$3)</f>
        <v>26.308956053342182</v>
      </c>
    </row>
    <row r="65" spans="1:17" x14ac:dyDescent="0.2">
      <c r="Q65" s="16"/>
    </row>
    <row r="66" spans="1:17" x14ac:dyDescent="0.2">
      <c r="Q66" s="16"/>
    </row>
    <row r="67" spans="1:17" ht="10.8" hidden="1" thickBot="1" x14ac:dyDescent="0.25">
      <c r="A67" s="55" t="s">
        <v>10</v>
      </c>
      <c r="B67" s="56" t="s">
        <v>43</v>
      </c>
      <c r="D67" s="559" t="s">
        <v>33</v>
      </c>
      <c r="E67" s="560"/>
      <c r="F67" s="561"/>
      <c r="Q67" s="16"/>
    </row>
    <row r="68" spans="1:17" hidden="1" x14ac:dyDescent="0.2">
      <c r="Q68" s="16"/>
    </row>
    <row r="69" spans="1:17" hidden="1" x14ac:dyDescent="0.2">
      <c r="A69" s="8"/>
      <c r="B69" s="8"/>
      <c r="C69" s="14"/>
      <c r="D69" s="6"/>
      <c r="E69" s="22"/>
      <c r="F69" s="9"/>
      <c r="G69" s="9"/>
      <c r="H69" s="9"/>
      <c r="I69" s="9"/>
      <c r="J69" s="9"/>
      <c r="K69" s="9"/>
      <c r="L69" s="9"/>
      <c r="M69" s="9"/>
      <c r="N69" s="10"/>
      <c r="O69" s="9"/>
      <c r="P69" s="23">
        <v>5.59</v>
      </c>
      <c r="Q69" s="16"/>
    </row>
    <row r="70" spans="1:17" hidden="1" x14ac:dyDescent="0.2">
      <c r="A70" s="8"/>
      <c r="B70" s="8"/>
      <c r="C70" s="14"/>
      <c r="D70" s="6"/>
      <c r="E70" s="22"/>
      <c r="F70" s="9"/>
      <c r="G70" s="9"/>
      <c r="H70" s="9"/>
      <c r="I70" s="9"/>
      <c r="J70" s="9"/>
      <c r="K70" s="9"/>
      <c r="L70" s="9"/>
      <c r="M70" s="9"/>
      <c r="N70" s="9"/>
      <c r="O70" s="9"/>
      <c r="P70" s="23"/>
      <c r="Q70" s="16"/>
    </row>
    <row r="71" spans="1:17" hidden="1" x14ac:dyDescent="0.2">
      <c r="A71" s="8"/>
      <c r="B71" s="8"/>
      <c r="C71" s="14"/>
      <c r="D71" s="6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23"/>
      <c r="Q71" s="16"/>
    </row>
    <row r="72" spans="1:17" s="7" customFormat="1" hidden="1" x14ac:dyDescent="0.2">
      <c r="B72" s="3"/>
      <c r="C72" s="18"/>
      <c r="D72" s="12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25"/>
      <c r="Q72" s="27"/>
    </row>
    <row r="73" spans="1:17" hidden="1" x14ac:dyDescent="0.2">
      <c r="Q73" s="16"/>
    </row>
    <row r="74" spans="1:17" s="7" customFormat="1" ht="10.8" thickBot="1" x14ac:dyDescent="0.25">
      <c r="C74" s="29"/>
      <c r="D74" s="30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27"/>
    </row>
    <row r="75" spans="1:17" ht="10.8" thickBot="1" x14ac:dyDescent="0.25">
      <c r="A75" s="283" t="s">
        <v>10</v>
      </c>
      <c r="B75" s="284" t="s">
        <v>119</v>
      </c>
      <c r="D75" s="556" t="s">
        <v>122</v>
      </c>
      <c r="E75" s="557"/>
      <c r="F75" s="558"/>
      <c r="Q75" s="16"/>
    </row>
    <row r="76" spans="1:17" x14ac:dyDescent="0.2">
      <c r="Q76" s="16"/>
    </row>
    <row r="77" spans="1:17" s="469" customFormat="1" x14ac:dyDescent="0.2">
      <c r="A77" s="482" t="s">
        <v>631</v>
      </c>
      <c r="B77" s="508" t="str">
        <f>orig!A194</f>
        <v>BZN 610 L</v>
      </c>
      <c r="C77" s="483">
        <v>417</v>
      </c>
      <c r="D77" s="463">
        <v>30000</v>
      </c>
      <c r="E77" s="514">
        <f>+D77/P77*(CALC!$A$4)</f>
        <v>209821.42857142858</v>
      </c>
      <c r="F77" s="465">
        <v>23400</v>
      </c>
      <c r="G77" s="465">
        <f>9900*(1+CALC!$A$2)</f>
        <v>7672.5</v>
      </c>
      <c r="H77" s="465">
        <f>55000*(1+CALC!B$14)</f>
        <v>59400.000000000007</v>
      </c>
      <c r="I77" s="465">
        <f>726389/8*0.75</f>
        <v>68098.96875</v>
      </c>
      <c r="J77" s="465"/>
      <c r="K77" s="522">
        <f>9492*(1+CALC!B$13)</f>
        <v>10631.04</v>
      </c>
      <c r="L77" s="465"/>
      <c r="M77" s="465">
        <f>SUM(E77:L77)</f>
        <v>379023.93732142856</v>
      </c>
      <c r="N77" s="466">
        <f>M77/CALC!$A$8*CALC!$A$6</f>
        <v>7402.7074071114484</v>
      </c>
      <c r="O77" s="465">
        <f>+M77+N77</f>
        <v>386426.64472854004</v>
      </c>
      <c r="P77" s="467">
        <v>3.36</v>
      </c>
      <c r="Q77" s="468"/>
    </row>
    <row r="78" spans="1:17" x14ac:dyDescent="0.2">
      <c r="A78" s="8"/>
      <c r="B78" s="8"/>
      <c r="C78" s="14"/>
      <c r="D78" s="6"/>
      <c r="E78" s="22"/>
      <c r="F78" s="9"/>
      <c r="G78" s="9"/>
      <c r="H78" s="9"/>
      <c r="I78" s="9"/>
      <c r="J78" s="9"/>
      <c r="K78" s="9"/>
      <c r="L78" s="9"/>
      <c r="M78" s="9">
        <f>SUM(E78:L78)</f>
        <v>0</v>
      </c>
      <c r="N78" s="9"/>
      <c r="O78" s="9">
        <f>+M78+N78</f>
        <v>0</v>
      </c>
      <c r="P78" s="23"/>
      <c r="Q78" s="16"/>
    </row>
    <row r="79" spans="1:17" s="7" customFormat="1" x14ac:dyDescent="0.2">
      <c r="B79" s="3" t="s">
        <v>14</v>
      </c>
      <c r="C79" s="18"/>
      <c r="D79" s="12">
        <f t="shared" ref="D79:M79" si="11">SUM(D77:D78)</f>
        <v>30000</v>
      </c>
      <c r="E79" s="10">
        <f t="shared" si="11"/>
        <v>209821.42857142858</v>
      </c>
      <c r="F79" s="10">
        <f t="shared" si="11"/>
        <v>23400</v>
      </c>
      <c r="G79" s="10">
        <f t="shared" si="11"/>
        <v>7672.5</v>
      </c>
      <c r="H79" s="10">
        <f t="shared" si="11"/>
        <v>59400.000000000007</v>
      </c>
      <c r="I79" s="10">
        <f t="shared" si="11"/>
        <v>68098.96875</v>
      </c>
      <c r="J79" s="10">
        <f t="shared" si="11"/>
        <v>0</v>
      </c>
      <c r="K79" s="10">
        <f t="shared" si="11"/>
        <v>10631.04</v>
      </c>
      <c r="L79" s="10"/>
      <c r="M79" s="10">
        <f t="shared" si="11"/>
        <v>379023.93732142856</v>
      </c>
      <c r="N79" s="10">
        <f>M79/CALC!$A$8*CALC!$A$6</f>
        <v>7402.7074071114484</v>
      </c>
      <c r="O79" s="10">
        <f>+M79+N79</f>
        <v>386426.64472854004</v>
      </c>
      <c r="P79" s="25"/>
      <c r="Q79" s="110">
        <f>(+O79/D79)*(1+CALC!$A$3)</f>
        <v>12.880888157618001</v>
      </c>
    </row>
    <row r="80" spans="1:17" s="7" customFormat="1" ht="10.8" thickBot="1" x14ac:dyDescent="0.25">
      <c r="C80" s="29"/>
      <c r="D80" s="30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27"/>
    </row>
    <row r="81" spans="1:17" ht="10.8" thickBot="1" x14ac:dyDescent="0.25">
      <c r="A81" s="283" t="s">
        <v>10</v>
      </c>
      <c r="B81" s="284" t="s">
        <v>148</v>
      </c>
      <c r="D81" s="556" t="s">
        <v>123</v>
      </c>
      <c r="E81" s="557"/>
      <c r="F81" s="558"/>
      <c r="Q81" s="16"/>
    </row>
    <row r="82" spans="1:17" x14ac:dyDescent="0.2">
      <c r="Q82" s="16"/>
    </row>
    <row r="83" spans="1:17" s="469" customFormat="1" x14ac:dyDescent="0.2">
      <c r="A83" s="536" t="s">
        <v>631</v>
      </c>
      <c r="B83" s="536" t="str">
        <f>orig!A196</f>
        <v>BYV 520 L</v>
      </c>
      <c r="C83" s="483">
        <v>419</v>
      </c>
      <c r="D83" s="463"/>
      <c r="E83" s="514">
        <f>+D83/P83*(CALC!$A$4)</f>
        <v>0</v>
      </c>
      <c r="F83" s="465"/>
      <c r="G83" s="28"/>
      <c r="H83" s="465"/>
      <c r="I83" s="465"/>
      <c r="J83" s="465"/>
      <c r="K83" s="522"/>
      <c r="L83" s="465"/>
      <c r="M83" s="465">
        <f>SUM(E83:L83)</f>
        <v>0</v>
      </c>
      <c r="N83" s="466">
        <f>M83/CALC!$A$8*CALC!$A$6</f>
        <v>0</v>
      </c>
      <c r="O83" s="465">
        <f>+M83+N83</f>
        <v>0</v>
      </c>
      <c r="P83" s="467">
        <v>1</v>
      </c>
      <c r="Q83" s="468"/>
    </row>
    <row r="84" spans="1:17" x14ac:dyDescent="0.2">
      <c r="A84" s="8"/>
      <c r="B84" s="8"/>
      <c r="C84" s="14"/>
      <c r="D84" s="6"/>
      <c r="E84" s="9"/>
      <c r="F84" s="9"/>
      <c r="G84" s="9"/>
      <c r="H84" s="9"/>
      <c r="I84" s="9"/>
      <c r="J84" s="9"/>
      <c r="K84" s="9"/>
      <c r="L84" s="9"/>
      <c r="M84" s="9">
        <f>SUM(E84:L84)</f>
        <v>0</v>
      </c>
      <c r="N84" s="9"/>
      <c r="O84" s="9">
        <f>+M84+N84</f>
        <v>0</v>
      </c>
      <c r="P84" s="23"/>
      <c r="Q84" s="16"/>
    </row>
    <row r="85" spans="1:17" s="7" customFormat="1" x14ac:dyDescent="0.2">
      <c r="B85" s="3" t="s">
        <v>14</v>
      </c>
      <c r="C85" s="18"/>
      <c r="D85" s="12">
        <f t="shared" ref="D85:M85" si="12">SUM(D83:D84)</f>
        <v>0</v>
      </c>
      <c r="E85" s="10">
        <f t="shared" si="12"/>
        <v>0</v>
      </c>
      <c r="F85" s="10">
        <f t="shared" si="12"/>
        <v>0</v>
      </c>
      <c r="G85" s="10">
        <f t="shared" si="12"/>
        <v>0</v>
      </c>
      <c r="H85" s="10">
        <f t="shared" si="12"/>
        <v>0</v>
      </c>
      <c r="I85" s="10">
        <f t="shared" si="12"/>
        <v>0</v>
      </c>
      <c r="J85" s="10">
        <f t="shared" si="12"/>
        <v>0</v>
      </c>
      <c r="K85" s="10">
        <f t="shared" si="12"/>
        <v>0</v>
      </c>
      <c r="L85" s="10"/>
      <c r="M85" s="10">
        <f t="shared" si="12"/>
        <v>0</v>
      </c>
      <c r="N85" s="10">
        <f>M85/CALC!$A$8*CALC!$A$6</f>
        <v>0</v>
      </c>
      <c r="O85" s="10">
        <f>+M85+N85</f>
        <v>0</v>
      </c>
      <c r="P85" s="25"/>
      <c r="Q85" s="110" t="e">
        <f>(+O85/D85)*(1+CALC!$A$3)</f>
        <v>#DIV/0!</v>
      </c>
    </row>
    <row r="86" spans="1:17" s="7" customFormat="1" ht="10.8" thickBot="1" x14ac:dyDescent="0.25">
      <c r="C86" s="29"/>
      <c r="D86" s="30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110"/>
    </row>
    <row r="87" spans="1:17" s="7" customFormat="1" ht="10.8" thickBot="1" x14ac:dyDescent="0.25">
      <c r="A87" s="283" t="s">
        <v>10</v>
      </c>
      <c r="B87" s="284" t="s">
        <v>1496</v>
      </c>
      <c r="C87" s="4"/>
      <c r="D87" s="525" t="s">
        <v>1497</v>
      </c>
      <c r="E87" s="526"/>
      <c r="F87" s="527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110"/>
    </row>
    <row r="88" spans="1:17" s="7" customFormat="1" x14ac:dyDescent="0.2">
      <c r="A88" s="7" t="s">
        <v>1498</v>
      </c>
      <c r="C88" s="29"/>
      <c r="D88" s="30">
        <v>2000</v>
      </c>
      <c r="E88" s="514">
        <v>300000</v>
      </c>
      <c r="F88" s="31"/>
      <c r="G88" s="28">
        <f>CALC!$A$23*(I88/CEM!I$148)</f>
        <v>0</v>
      </c>
      <c r="H88" s="31">
        <f>30000*(1+CALC!B$14)</f>
        <v>32400.000000000004</v>
      </c>
      <c r="I88" s="31"/>
      <c r="J88" s="31"/>
      <c r="K88" s="31"/>
      <c r="L88" s="31"/>
      <c r="M88" s="465">
        <f t="shared" ref="M88:M92" si="13">SUM(E88:L88)</f>
        <v>332400</v>
      </c>
      <c r="N88" s="31"/>
      <c r="O88" s="465">
        <f t="shared" ref="O88:O92" si="14">+M88+N88</f>
        <v>332400</v>
      </c>
      <c r="P88" s="31">
        <v>80</v>
      </c>
      <c r="Q88" s="110"/>
    </row>
    <row r="89" spans="1:17" s="7" customFormat="1" x14ac:dyDescent="0.2">
      <c r="A89" s="7" t="s">
        <v>1499</v>
      </c>
      <c r="C89" s="29"/>
      <c r="D89" s="30">
        <v>2000</v>
      </c>
      <c r="E89" s="514">
        <v>300000</v>
      </c>
      <c r="F89" s="31"/>
      <c r="G89" s="28">
        <f>CALC!$A$23*(I89/CEM!I$148)</f>
        <v>0</v>
      </c>
      <c r="H89" s="31">
        <f>30000*(1+CALC!B$14)</f>
        <v>32400.000000000004</v>
      </c>
      <c r="I89" s="31"/>
      <c r="J89" s="31"/>
      <c r="K89" s="31"/>
      <c r="L89" s="31"/>
      <c r="M89" s="465">
        <f t="shared" si="13"/>
        <v>332400</v>
      </c>
      <c r="N89" s="31"/>
      <c r="O89" s="465">
        <f t="shared" si="14"/>
        <v>332400</v>
      </c>
      <c r="P89" s="31">
        <v>80</v>
      </c>
      <c r="Q89" s="110"/>
    </row>
    <row r="90" spans="1:17" s="7" customFormat="1" x14ac:dyDescent="0.2">
      <c r="A90" s="7" t="s">
        <v>1500</v>
      </c>
      <c r="C90" s="29"/>
      <c r="D90" s="30">
        <v>2000</v>
      </c>
      <c r="E90" s="514">
        <v>300000</v>
      </c>
      <c r="F90" s="31"/>
      <c r="G90" s="28">
        <f>CALC!$A$23*(I90/CEM!I$148)</f>
        <v>0</v>
      </c>
      <c r="H90" s="31">
        <f>30000*(1+CALC!B$14)</f>
        <v>32400.000000000004</v>
      </c>
      <c r="I90" s="31"/>
      <c r="J90" s="31"/>
      <c r="K90" s="31"/>
      <c r="L90" s="31"/>
      <c r="M90" s="465">
        <f t="shared" si="13"/>
        <v>332400</v>
      </c>
      <c r="N90" s="31"/>
      <c r="O90" s="465">
        <f t="shared" si="14"/>
        <v>332400</v>
      </c>
      <c r="P90" s="31">
        <v>80</v>
      </c>
      <c r="Q90" s="110"/>
    </row>
    <row r="91" spans="1:17" s="7" customFormat="1" x14ac:dyDescent="0.2">
      <c r="A91" s="7" t="s">
        <v>1501</v>
      </c>
      <c r="C91" s="29"/>
      <c r="D91" s="30">
        <v>2000</v>
      </c>
      <c r="E91" s="514">
        <v>300000</v>
      </c>
      <c r="F91" s="31"/>
      <c r="G91" s="28">
        <f>CALC!$A$23*(I91/CEM!I$148)</f>
        <v>0</v>
      </c>
      <c r="H91" s="31">
        <f>30000*(1+CALC!B$14)</f>
        <v>32400.000000000004</v>
      </c>
      <c r="I91" s="31"/>
      <c r="J91" s="31"/>
      <c r="K91" s="31"/>
      <c r="L91" s="31"/>
      <c r="M91" s="465">
        <f t="shared" si="13"/>
        <v>332400</v>
      </c>
      <c r="N91" s="31"/>
      <c r="O91" s="465">
        <f t="shared" si="14"/>
        <v>332400</v>
      </c>
      <c r="P91" s="31">
        <v>80</v>
      </c>
      <c r="Q91" s="110"/>
    </row>
    <row r="92" spans="1:17" x14ac:dyDescent="0.2">
      <c r="A92" s="2" t="s">
        <v>1502</v>
      </c>
      <c r="D92" s="30">
        <v>2000</v>
      </c>
      <c r="E92" s="514">
        <v>300000</v>
      </c>
      <c r="G92" s="28">
        <f>CALC!$A$23*(I92/CEM!I$148)</f>
        <v>0</v>
      </c>
      <c r="H92" s="31">
        <f>30000*(1+CALC!B$14)</f>
        <v>32400.000000000004</v>
      </c>
      <c r="M92" s="465">
        <f t="shared" si="13"/>
        <v>332400</v>
      </c>
      <c r="O92" s="465">
        <f t="shared" si="14"/>
        <v>332400</v>
      </c>
      <c r="P92" s="31">
        <v>80</v>
      </c>
      <c r="Q92" s="16"/>
    </row>
    <row r="93" spans="1:17" x14ac:dyDescent="0.2">
      <c r="B93" s="3" t="s">
        <v>14</v>
      </c>
      <c r="C93" s="18"/>
      <c r="D93" s="12">
        <f>SUM(D88:D92)</f>
        <v>10000</v>
      </c>
      <c r="E93" s="10">
        <f>SUM(E87:E92)</f>
        <v>1500000</v>
      </c>
      <c r="F93" s="10">
        <f t="shared" ref="F93" si="15">SUM(F91:F92)</f>
        <v>0</v>
      </c>
      <c r="G93" s="10">
        <f>SUM(G86:G92)</f>
        <v>0</v>
      </c>
      <c r="H93" s="10">
        <f t="shared" ref="H93:P93" si="16">SUM(H86:H92)</f>
        <v>162000.00000000003</v>
      </c>
      <c r="I93" s="10">
        <f t="shared" si="16"/>
        <v>0</v>
      </c>
      <c r="J93" s="10">
        <f t="shared" si="16"/>
        <v>0</v>
      </c>
      <c r="K93" s="10">
        <f t="shared" si="16"/>
        <v>0</v>
      </c>
      <c r="L93" s="10">
        <f t="shared" si="16"/>
        <v>0</v>
      </c>
      <c r="M93" s="10">
        <f>SUM(M88:M92)</f>
        <v>1662000</v>
      </c>
      <c r="N93" s="10">
        <f t="shared" si="16"/>
        <v>0</v>
      </c>
      <c r="O93" s="10">
        <f t="shared" si="16"/>
        <v>1662000</v>
      </c>
      <c r="P93" s="10">
        <f t="shared" si="16"/>
        <v>400</v>
      </c>
      <c r="Q93" s="110">
        <f>(+O93/D93)*(1+CALC!$A$3)</f>
        <v>166.2</v>
      </c>
    </row>
    <row r="94" spans="1:17" x14ac:dyDescent="0.2">
      <c r="Q94" s="16"/>
    </row>
    <row r="95" spans="1:17" ht="10.8" thickBot="1" x14ac:dyDescent="0.25">
      <c r="Q95" s="16"/>
    </row>
    <row r="96" spans="1:17" s="7" customFormat="1" ht="10.8" thickBot="1" x14ac:dyDescent="0.25">
      <c r="A96" s="32" t="s">
        <v>76</v>
      </c>
      <c r="B96" s="74" t="s">
        <v>14</v>
      </c>
      <c r="C96" s="75"/>
      <c r="D96" s="76">
        <f>+D97+D98+D99</f>
        <v>416100</v>
      </c>
      <c r="E96" s="77">
        <f>+E97+E98+E99</f>
        <v>4528940.3730024882</v>
      </c>
      <c r="F96" s="77">
        <f t="shared" ref="F96:O96" si="17">+F97+F98+F99</f>
        <v>427200</v>
      </c>
      <c r="G96" s="77">
        <f t="shared" si="17"/>
        <v>66698.881774853187</v>
      </c>
      <c r="H96" s="77">
        <f>+H97+H98+H99</f>
        <v>1144800</v>
      </c>
      <c r="I96" s="77">
        <f t="shared" si="17"/>
        <v>465666.86874999997</v>
      </c>
      <c r="J96" s="77">
        <f t="shared" si="17"/>
        <v>0</v>
      </c>
      <c r="K96" s="77">
        <f t="shared" si="17"/>
        <v>62973.12000000001</v>
      </c>
      <c r="L96" s="77">
        <f t="shared" si="17"/>
        <v>0</v>
      </c>
      <c r="M96" s="77">
        <f t="shared" si="17"/>
        <v>6695911.1910038805</v>
      </c>
      <c r="N96" s="77">
        <f t="shared" si="17"/>
        <v>98317.198443283778</v>
      </c>
      <c r="O96" s="77">
        <f t="shared" si="17"/>
        <v>6794228.3894471647</v>
      </c>
      <c r="P96" s="26"/>
      <c r="Q96" s="26"/>
    </row>
    <row r="97" spans="1:17" s="7" customFormat="1" ht="10.8" thickBot="1" x14ac:dyDescent="0.25">
      <c r="A97" s="32" t="s">
        <v>92</v>
      </c>
      <c r="B97" s="57" t="s">
        <v>14</v>
      </c>
      <c r="C97" s="58"/>
      <c r="D97" s="59">
        <f>+D7+D8+D11+D14+D15+D16+D25+D30+D35+D45+D52+D64+D85+D93</f>
        <v>273000</v>
      </c>
      <c r="E97" s="59">
        <f t="shared" ref="E97:O97" si="18">+E7+E8+E11+E14+E15+E16+E25+E30+E35+E45+E52+E64+E85+E93</f>
        <v>3614394.4797403277</v>
      </c>
      <c r="F97" s="59">
        <f t="shared" si="18"/>
        <v>283800</v>
      </c>
      <c r="G97" s="59">
        <f t="shared" si="18"/>
        <v>42339.953159302007</v>
      </c>
      <c r="H97" s="59">
        <f t="shared" si="18"/>
        <v>826200</v>
      </c>
      <c r="I97" s="59">
        <f t="shared" si="18"/>
        <v>284472.48</v>
      </c>
      <c r="J97" s="59">
        <f t="shared" si="18"/>
        <v>0</v>
      </c>
      <c r="K97" s="59">
        <f t="shared" si="18"/>
        <v>38485.440000000002</v>
      </c>
      <c r="L97" s="59">
        <f t="shared" si="18"/>
        <v>0</v>
      </c>
      <c r="M97" s="59">
        <f t="shared" si="18"/>
        <v>5089324.3003761694</v>
      </c>
      <c r="N97" s="59">
        <f t="shared" si="18"/>
        <v>66938.988508927956</v>
      </c>
      <c r="O97" s="59">
        <f t="shared" si="18"/>
        <v>5156263.288885098</v>
      </c>
      <c r="P97" s="122"/>
      <c r="Q97" s="33"/>
    </row>
    <row r="98" spans="1:17" s="7" customFormat="1" ht="10.8" thickBot="1" x14ac:dyDescent="0.25">
      <c r="A98" s="32" t="s">
        <v>93</v>
      </c>
      <c r="B98" s="57" t="s">
        <v>14</v>
      </c>
      <c r="C98" s="58"/>
      <c r="D98" s="59">
        <f>+D9+D10</f>
        <v>60000</v>
      </c>
      <c r="E98" s="60">
        <f>+E9+E10</f>
        <v>211394.30284857572</v>
      </c>
      <c r="F98" s="60">
        <f t="shared" ref="F98:O98" si="19">+F9+F10</f>
        <v>46800</v>
      </c>
      <c r="G98" s="60">
        <f t="shared" si="19"/>
        <v>4542.5042372045891</v>
      </c>
      <c r="H98" s="60">
        <f t="shared" si="19"/>
        <v>75600</v>
      </c>
      <c r="I98" s="60">
        <f t="shared" si="19"/>
        <v>30787.68</v>
      </c>
      <c r="J98" s="60">
        <f t="shared" si="19"/>
        <v>0</v>
      </c>
      <c r="K98" s="60">
        <f t="shared" si="19"/>
        <v>1518.7200000000003</v>
      </c>
      <c r="L98" s="60">
        <f t="shared" si="19"/>
        <v>0</v>
      </c>
      <c r="M98" s="60">
        <f t="shared" si="19"/>
        <v>370643.20708578028</v>
      </c>
      <c r="N98" s="60">
        <f t="shared" si="19"/>
        <v>7239.0235663733802</v>
      </c>
      <c r="O98" s="60">
        <f t="shared" si="19"/>
        <v>377882.23065215367</v>
      </c>
      <c r="P98" s="33"/>
      <c r="Q98" s="33"/>
    </row>
    <row r="99" spans="1:17" s="7" customFormat="1" ht="10.8" thickBot="1" x14ac:dyDescent="0.25">
      <c r="A99" s="32" t="s">
        <v>94</v>
      </c>
      <c r="B99" s="57" t="s">
        <v>14</v>
      </c>
      <c r="C99" s="58"/>
      <c r="D99" s="59">
        <f>+D12+D13+D39+D58+D77</f>
        <v>83100</v>
      </c>
      <c r="E99" s="60">
        <f>+E12+E13+E39+E58+E77</f>
        <v>703151.59041358437</v>
      </c>
      <c r="F99" s="60">
        <f t="shared" ref="F99:O99" si="20">+F12+F13+F39+F58+F77</f>
        <v>96600</v>
      </c>
      <c r="G99" s="60">
        <f t="shared" si="20"/>
        <v>19816.424378346586</v>
      </c>
      <c r="H99" s="60">
        <f t="shared" si="20"/>
        <v>243000</v>
      </c>
      <c r="I99" s="60">
        <f t="shared" si="20"/>
        <v>150406.70874999999</v>
      </c>
      <c r="J99" s="60">
        <f t="shared" si="20"/>
        <v>0</v>
      </c>
      <c r="K99" s="60">
        <f t="shared" si="20"/>
        <v>22968.960000000003</v>
      </c>
      <c r="L99" s="60">
        <f t="shared" si="20"/>
        <v>0</v>
      </c>
      <c r="M99" s="60">
        <f t="shared" si="20"/>
        <v>1235943.683541931</v>
      </c>
      <c r="N99" s="60">
        <f t="shared" si="20"/>
        <v>24139.186367982446</v>
      </c>
      <c r="O99" s="60">
        <f t="shared" si="20"/>
        <v>1260082.8699099135</v>
      </c>
      <c r="P99" s="33"/>
      <c r="Q99" s="33"/>
    </row>
    <row r="100" spans="1:17" x14ac:dyDescent="0.2"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6"/>
    </row>
    <row r="101" spans="1:17" x14ac:dyDescent="0.2">
      <c r="O101" s="20"/>
      <c r="Q101" s="16"/>
    </row>
    <row r="102" spans="1:17" x14ac:dyDescent="0.2">
      <c r="D102" s="13">
        <f>D96</f>
        <v>416100</v>
      </c>
      <c r="E102" s="13">
        <f t="shared" ref="E102:O102" si="21">E96</f>
        <v>4528940.3730024882</v>
      </c>
      <c r="F102" s="13">
        <f t="shared" si="21"/>
        <v>427200</v>
      </c>
      <c r="G102" s="13">
        <f t="shared" si="21"/>
        <v>66698.881774853187</v>
      </c>
      <c r="H102" s="13">
        <f t="shared" si="21"/>
        <v>1144800</v>
      </c>
      <c r="I102" s="13">
        <f t="shared" si="21"/>
        <v>465666.86874999997</v>
      </c>
      <c r="J102" s="13">
        <f t="shared" si="21"/>
        <v>0</v>
      </c>
      <c r="K102" s="13">
        <f t="shared" si="21"/>
        <v>62973.12000000001</v>
      </c>
      <c r="L102" s="13">
        <f t="shared" si="21"/>
        <v>0</v>
      </c>
      <c r="M102" s="13">
        <f t="shared" si="21"/>
        <v>6695911.1910038805</v>
      </c>
      <c r="N102" s="13">
        <f t="shared" si="21"/>
        <v>98317.198443283778</v>
      </c>
      <c r="O102" s="13">
        <f t="shared" si="21"/>
        <v>6794228.3894471647</v>
      </c>
      <c r="Q102" s="16"/>
    </row>
    <row r="103" spans="1:17" x14ac:dyDescent="0.2">
      <c r="I103" s="48">
        <f>-I79</f>
        <v>-68098.96875</v>
      </c>
      <c r="O103" s="20"/>
      <c r="Q103" s="16"/>
    </row>
    <row r="104" spans="1:17" x14ac:dyDescent="0.2">
      <c r="I104" s="48">
        <f>-I85</f>
        <v>0</v>
      </c>
      <c r="Q104" s="16"/>
    </row>
    <row r="105" spans="1:17" x14ac:dyDescent="0.2">
      <c r="Q105" s="16"/>
    </row>
    <row r="106" spans="1:17" x14ac:dyDescent="0.2">
      <c r="Q106" s="16"/>
    </row>
    <row r="107" spans="1:17" x14ac:dyDescent="0.2">
      <c r="Q107" s="16"/>
    </row>
    <row r="108" spans="1:17" x14ac:dyDescent="0.2">
      <c r="I108" s="11">
        <f>233684+35368+155280+1157728+2463975+965892</f>
        <v>5011927</v>
      </c>
      <c r="Q108" s="16"/>
    </row>
    <row r="109" spans="1:17" x14ac:dyDescent="0.2">
      <c r="Q109" s="16"/>
    </row>
    <row r="110" spans="1:17" x14ac:dyDescent="0.2">
      <c r="Q110" s="16"/>
    </row>
    <row r="111" spans="1:17" x14ac:dyDescent="0.2">
      <c r="Q111" s="16"/>
    </row>
    <row r="112" spans="1:17" x14ac:dyDescent="0.2">
      <c r="Q112" s="16"/>
    </row>
    <row r="113" spans="17:17" x14ac:dyDescent="0.2">
      <c r="Q113" s="16"/>
    </row>
    <row r="114" spans="17:17" x14ac:dyDescent="0.2">
      <c r="Q114" s="16"/>
    </row>
    <row r="139" spans="6:6" x14ac:dyDescent="0.2">
      <c r="F139" s="2">
        <f>SUM(F130:F138)</f>
        <v>0</v>
      </c>
    </row>
  </sheetData>
  <customSheetViews>
    <customSheetView guid="{60788006-5C2B-4CAF-8D5B-3FA82F99F0BB}" showPageBreaks="1" printArea="1" hiddenRows="1" hiddenColumns="1" view="pageBreakPreview">
      <pane xSplit="3" ySplit="3" topLeftCell="D61" activePane="bottomRight" state="frozen"/>
      <selection pane="bottomRight" activeCell="N12" sqref="N12"/>
      <rowBreaks count="1" manualBreakCount="1">
        <brk id="59" max="16" man="1"/>
      </rowBreaks>
      <pageMargins left="0" right="0" top="0" bottom="0" header="0.31496062992125984" footer="0.31496062992125984"/>
      <pageSetup paperSize="8" scale="84" orientation="landscape" r:id="rId1"/>
      <headerFooter alignWithMargins="0"/>
    </customSheetView>
    <customSheetView guid="{6C0BD6A7-6718-429D-82D9-D2FE0341EA2C}" showPageBreaks="1" printArea="1" hiddenRows="1" hiddenColumns="1" view="pageBreakPreview">
      <pane xSplit="3" ySplit="3" topLeftCell="D63" activePane="bottomRight" state="frozen"/>
      <selection pane="bottomRight" activeCell="D84" sqref="D84"/>
      <rowBreaks count="1" manualBreakCount="1">
        <brk id="59" max="16" man="1"/>
      </rowBreaks>
      <pageMargins left="0" right="0" top="0" bottom="0" header="0.31496062992125984" footer="0.31496062992125984"/>
      <pageSetup paperSize="8" scale="84" orientation="landscape" r:id="rId2"/>
      <headerFooter alignWithMargins="0"/>
    </customSheetView>
    <customSheetView guid="{594C4AB0-8D5F-4373-9663-410F4413FE3A}" showPageBreaks="1" printArea="1" hiddenRows="1" hiddenColumns="1" view="pageBreakPreview">
      <pane xSplit="3" ySplit="3" topLeftCell="D62" activePane="bottomRight" state="frozen"/>
      <selection pane="bottomRight" activeCell="F84" sqref="F84"/>
      <rowBreaks count="1" manualBreakCount="1">
        <brk id="59" max="16" man="1"/>
      </rowBreaks>
      <pageMargins left="0" right="0" top="0" bottom="0" header="0.31496062992125984" footer="0.31496062992125984"/>
      <pageSetup paperSize="8" scale="84" orientation="landscape" r:id="rId3"/>
      <headerFooter alignWithMargins="0"/>
    </customSheetView>
    <customSheetView guid="{DF69299D-7752-4436-A45D-28F739CEE21B}" showPageBreaks="1" printArea="1" hiddenRows="1" hiddenColumns="1" view="pageBreakPreview">
      <pane xSplit="3" ySplit="3" topLeftCell="D37" activePane="bottomRight" state="frozen"/>
      <selection pane="bottomRight" activeCell="N12" sqref="N12"/>
      <rowBreaks count="1" manualBreakCount="1">
        <brk id="59" max="16" man="1"/>
      </rowBreaks>
      <pageMargins left="0" right="0" top="0" bottom="0" header="0.31496062992125984" footer="0.31496062992125984"/>
      <pageSetup paperSize="8" scale="84" orientation="landscape" r:id="rId4"/>
      <headerFooter alignWithMargins="0"/>
    </customSheetView>
  </customSheetViews>
  <mergeCells count="12">
    <mergeCell ref="D48:F48"/>
    <mergeCell ref="D60:F60"/>
    <mergeCell ref="D67:F67"/>
    <mergeCell ref="D81:F81"/>
    <mergeCell ref="D5:F5"/>
    <mergeCell ref="D27:F27"/>
    <mergeCell ref="D54:F54"/>
    <mergeCell ref="D75:F75"/>
    <mergeCell ref="D20:F20"/>
    <mergeCell ref="D32:F32"/>
    <mergeCell ref="D37:F37"/>
    <mergeCell ref="D42:F42"/>
  </mergeCells>
  <phoneticPr fontId="0" type="noConversion"/>
  <pageMargins left="0" right="0" top="0" bottom="0" header="0.31496062992125984" footer="0.31496062992125984"/>
  <pageSetup paperSize="8" scale="84" orientation="landscape" r:id="rId5"/>
  <headerFooter alignWithMargins="0"/>
  <rowBreaks count="1" manualBreakCount="1">
    <brk id="59" max="1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AU80"/>
  <sheetViews>
    <sheetView zoomScaleSheetLayoutView="100" workbookViewId="0">
      <selection activeCell="B1" sqref="B1"/>
    </sheetView>
  </sheetViews>
  <sheetFormatPr defaultColWidth="9.21875" defaultRowHeight="15.6" x14ac:dyDescent="0.3"/>
  <cols>
    <col min="1" max="1" width="30.77734375" style="360" bestFit="1" customWidth="1"/>
    <col min="2" max="2" width="20.77734375" style="359" bestFit="1" customWidth="1"/>
    <col min="3" max="3" width="16.21875" style="415" hidden="1" customWidth="1"/>
    <col min="4" max="5" width="15.21875" style="415" hidden="1" customWidth="1"/>
    <col min="6" max="8" width="13.21875" style="415" hidden="1" customWidth="1"/>
    <col min="9" max="11" width="15.21875" style="415" hidden="1" customWidth="1"/>
    <col min="12" max="12" width="13.21875" style="415" hidden="1" customWidth="1"/>
    <col min="13" max="13" width="15.21875" style="415" hidden="1" customWidth="1"/>
    <col min="14" max="14" width="13.21875" style="415" hidden="1" customWidth="1"/>
    <col min="15" max="15" width="12" style="415" hidden="1" customWidth="1"/>
    <col min="16" max="16" width="10.44140625" style="415" hidden="1" customWidth="1"/>
    <col min="17" max="17" width="11.21875" style="415" hidden="1" customWidth="1"/>
    <col min="18" max="19" width="9.21875" style="415" hidden="1" customWidth="1"/>
    <col min="20" max="20" width="20.77734375" style="359" bestFit="1" customWidth="1"/>
    <col min="21" max="21" width="9.21875" style="359" customWidth="1"/>
    <col min="22" max="22" width="20.77734375" style="359" bestFit="1" customWidth="1"/>
    <col min="23" max="23" width="9.21875" style="359"/>
    <col min="24" max="24" width="15.5546875" style="359" bestFit="1" customWidth="1"/>
    <col min="25" max="28" width="20.77734375" style="359" bestFit="1" customWidth="1"/>
    <col min="29" max="16384" width="9.21875" style="359"/>
  </cols>
  <sheetData>
    <row r="1" spans="1:19" x14ac:dyDescent="0.3">
      <c r="A1" s="358" t="s">
        <v>1458</v>
      </c>
      <c r="C1" s="414"/>
    </row>
    <row r="2" spans="1:19" ht="16.2" thickBot="1" x14ac:dyDescent="0.35"/>
    <row r="3" spans="1:19" hidden="1" x14ac:dyDescent="0.3">
      <c r="A3" s="361"/>
      <c r="B3" s="361"/>
      <c r="C3" s="416" t="str">
        <f>+mayor!B6</f>
        <v>V0152</v>
      </c>
      <c r="D3" s="416" t="str">
        <f>+mayor!B13</f>
        <v>V0153</v>
      </c>
      <c r="E3" s="416" t="str">
        <f>+mayor!B20</f>
        <v>V0154</v>
      </c>
      <c r="F3" s="416" t="str">
        <f>+mayor!B26</f>
        <v>V0103</v>
      </c>
      <c r="G3" s="417" t="s">
        <v>1447</v>
      </c>
    </row>
    <row r="4" spans="1:19" ht="14.25" hidden="1" customHeight="1" x14ac:dyDescent="0.3">
      <c r="A4" s="361"/>
      <c r="B4" s="362"/>
      <c r="C4" s="418">
        <f>+mayor!Q11</f>
        <v>8.3459538298494031</v>
      </c>
      <c r="D4" s="418">
        <f>+mayor!Q18</f>
        <v>11.552986361409513</v>
      </c>
      <c r="E4" s="418" t="e">
        <f>+mayor!Q24</f>
        <v>#DIV/0!</v>
      </c>
      <c r="F4" s="418">
        <f>+mayor!Q30</f>
        <v>1.1004083292181703</v>
      </c>
      <c r="G4" s="419">
        <f>+mayor!Q36</f>
        <v>3.0014127168048161</v>
      </c>
    </row>
    <row r="5" spans="1:19" s="366" customFormat="1" hidden="1" x14ac:dyDescent="0.3">
      <c r="A5" s="363"/>
      <c r="B5" s="364">
        <f>+C5+D5+E5+F5+G5</f>
        <v>86000</v>
      </c>
      <c r="C5" s="420">
        <f>+C7+C9</f>
        <v>30000</v>
      </c>
      <c r="D5" s="420">
        <f>+D7+D9</f>
        <v>30000</v>
      </c>
      <c r="E5" s="420">
        <f t="shared" ref="E5:G6" si="0">+E11</f>
        <v>0</v>
      </c>
      <c r="F5" s="420">
        <f t="shared" si="0"/>
        <v>25000</v>
      </c>
      <c r="G5" s="421">
        <f t="shared" si="0"/>
        <v>1000</v>
      </c>
      <c r="H5" s="422"/>
      <c r="I5" s="455">
        <f>+B5+B16+B21+B23+B28+B34+B45+B54+B59+B64</f>
        <v>2247470</v>
      </c>
      <c r="J5" s="422"/>
      <c r="K5" s="422"/>
      <c r="L5" s="422"/>
      <c r="M5" s="422"/>
      <c r="N5" s="422"/>
      <c r="O5" s="422"/>
      <c r="P5" s="422"/>
      <c r="Q5" s="422"/>
      <c r="R5" s="422"/>
      <c r="S5" s="422"/>
    </row>
    <row r="6" spans="1:19" hidden="1" x14ac:dyDescent="0.3">
      <c r="A6" s="367"/>
      <c r="B6" s="368" t="e">
        <f>+C6+D6+E6+F6+G6</f>
        <v>#DIV/0!</v>
      </c>
      <c r="C6" s="423">
        <f>+C8+C10</f>
        <v>250378.61489548208</v>
      </c>
      <c r="D6" s="423">
        <f>+D8+D10</f>
        <v>346589.59084228537</v>
      </c>
      <c r="E6" s="423" t="e">
        <f t="shared" si="0"/>
        <v>#DIV/0!</v>
      </c>
      <c r="F6" s="423">
        <f t="shared" si="0"/>
        <v>27510.20823045426</v>
      </c>
      <c r="G6" s="424">
        <f t="shared" si="0"/>
        <v>3001.4127168048162</v>
      </c>
      <c r="H6" s="424"/>
    </row>
    <row r="7" spans="1:19" ht="16.2" hidden="1" thickBot="1" x14ac:dyDescent="0.35">
      <c r="A7" s="379"/>
      <c r="B7" s="380">
        <f t="shared" ref="B7:B10" si="1">+C7+D7+E7+F7</f>
        <v>30000</v>
      </c>
      <c r="C7" s="425">
        <f>+mayor!D8</f>
        <v>15000</v>
      </c>
      <c r="D7" s="425">
        <f>+mayor!D16</f>
        <v>15000</v>
      </c>
      <c r="E7" s="425"/>
      <c r="F7" s="425"/>
      <c r="G7" s="421"/>
    </row>
    <row r="8" spans="1:19" x14ac:dyDescent="0.3">
      <c r="A8" s="381" t="s">
        <v>84</v>
      </c>
      <c r="B8" s="382" t="e">
        <f t="shared" si="1"/>
        <v>#DIV/0!</v>
      </c>
      <c r="C8" s="426">
        <f>+C7*C4</f>
        <v>125189.30744774104</v>
      </c>
      <c r="D8" s="427">
        <f t="shared" ref="D8:F8" si="2">+D7*D4</f>
        <v>173294.79542114268</v>
      </c>
      <c r="E8" s="427" t="e">
        <f t="shared" si="2"/>
        <v>#DIV/0!</v>
      </c>
      <c r="F8" s="427">
        <f t="shared" si="2"/>
        <v>0</v>
      </c>
      <c r="G8" s="424"/>
    </row>
    <row r="9" spans="1:19" hidden="1" x14ac:dyDescent="0.3">
      <c r="A9" s="383"/>
      <c r="B9" s="384">
        <f t="shared" si="1"/>
        <v>30000</v>
      </c>
      <c r="C9" s="428">
        <f>+mayor!D9</f>
        <v>15000</v>
      </c>
      <c r="D9" s="425">
        <f>+mayor!D15</f>
        <v>15000</v>
      </c>
      <c r="E9" s="425"/>
      <c r="F9" s="425"/>
      <c r="G9" s="421"/>
    </row>
    <row r="10" spans="1:19" x14ac:dyDescent="0.3">
      <c r="A10" s="383" t="s">
        <v>85</v>
      </c>
      <c r="B10" s="385" t="e">
        <f t="shared" si="1"/>
        <v>#DIV/0!</v>
      </c>
      <c r="C10" s="426">
        <f>+C9*C4</f>
        <v>125189.30744774104</v>
      </c>
      <c r="D10" s="427">
        <f t="shared" ref="D10:F10" si="3">+D9*D4</f>
        <v>173294.79542114268</v>
      </c>
      <c r="E10" s="427" t="e">
        <f t="shared" si="3"/>
        <v>#DIV/0!</v>
      </c>
      <c r="F10" s="427">
        <f t="shared" si="3"/>
        <v>0</v>
      </c>
      <c r="G10" s="424"/>
    </row>
    <row r="11" spans="1:19" hidden="1" x14ac:dyDescent="0.3">
      <c r="A11" s="383"/>
      <c r="B11" s="384">
        <f>+C11+D11+E11+F11+G11</f>
        <v>26000</v>
      </c>
      <c r="C11" s="428"/>
      <c r="D11" s="425"/>
      <c r="E11" s="425">
        <f>+mayor!D24</f>
        <v>0</v>
      </c>
      <c r="F11" s="425">
        <f>+mayor!D30</f>
        <v>25000</v>
      </c>
      <c r="G11" s="425">
        <f>+mayor!D34</f>
        <v>1000</v>
      </c>
    </row>
    <row r="12" spans="1:19" x14ac:dyDescent="0.3">
      <c r="A12" s="383" t="s">
        <v>195</v>
      </c>
      <c r="B12" s="384" t="e">
        <f>+C12+D12+E12+F12+G12</f>
        <v>#DIV/0!</v>
      </c>
      <c r="C12" s="426"/>
      <c r="D12" s="427"/>
      <c r="E12" s="427" t="e">
        <f>+E11*E4</f>
        <v>#DIV/0!</v>
      </c>
      <c r="F12" s="427">
        <f>+F11*F4</f>
        <v>27510.20823045426</v>
      </c>
      <c r="G12" s="427">
        <f>+G11*G4</f>
        <v>3001.4127168048162</v>
      </c>
      <c r="I12" s="452" t="e">
        <f>B8+B10+B12</f>
        <v>#DIV/0!</v>
      </c>
    </row>
    <row r="13" spans="1:19" hidden="1" x14ac:dyDescent="0.3">
      <c r="A13" s="386"/>
      <c r="B13" s="387"/>
    </row>
    <row r="14" spans="1:19" hidden="1" x14ac:dyDescent="0.3">
      <c r="A14" s="388"/>
      <c r="B14" s="389"/>
      <c r="C14" s="429" t="str">
        <f>+income!B7</f>
        <v>V0164</v>
      </c>
      <c r="D14" s="430"/>
    </row>
    <row r="15" spans="1:19" hidden="1" x14ac:dyDescent="0.3">
      <c r="A15" s="383"/>
      <c r="B15" s="385"/>
      <c r="C15" s="426">
        <f>+income!Q12</f>
        <v>14.871811323784002</v>
      </c>
      <c r="D15" s="427"/>
    </row>
    <row r="16" spans="1:19" s="370" customFormat="1" hidden="1" x14ac:dyDescent="0.3">
      <c r="A16" s="383"/>
      <c r="B16" s="384">
        <f>+C16</f>
        <v>20000</v>
      </c>
      <c r="C16" s="428">
        <f>+income!D16</f>
        <v>20000</v>
      </c>
      <c r="D16" s="425"/>
      <c r="E16" s="431"/>
      <c r="F16" s="431"/>
      <c r="G16" s="431"/>
      <c r="H16" s="431"/>
      <c r="I16" s="431"/>
      <c r="J16" s="431"/>
      <c r="K16" s="431"/>
      <c r="L16" s="431"/>
      <c r="M16" s="431"/>
      <c r="N16" s="431"/>
      <c r="O16" s="431"/>
      <c r="P16" s="431"/>
      <c r="Q16" s="431"/>
      <c r="R16" s="431"/>
      <c r="S16" s="431"/>
    </row>
    <row r="17" spans="1:21" x14ac:dyDescent="0.3">
      <c r="A17" s="383" t="s">
        <v>193</v>
      </c>
      <c r="B17" s="385">
        <f>+C17</f>
        <v>297436.22647568001</v>
      </c>
      <c r="C17" s="426">
        <f>+$C$15*$C$16</f>
        <v>297436.22647568001</v>
      </c>
      <c r="D17" s="427"/>
      <c r="E17" s="432"/>
    </row>
    <row r="18" spans="1:21" hidden="1" x14ac:dyDescent="0.3">
      <c r="A18" s="386"/>
      <c r="B18" s="387"/>
    </row>
    <row r="19" spans="1:21" hidden="1" x14ac:dyDescent="0.3">
      <c r="A19" s="388"/>
      <c r="B19" s="389"/>
      <c r="C19" s="429" t="str">
        <f>+workshop!B6</f>
        <v>V0155</v>
      </c>
      <c r="D19" s="430" t="str">
        <f>+workshop!B13</f>
        <v>V0156</v>
      </c>
    </row>
    <row r="20" spans="1:21" hidden="1" x14ac:dyDescent="0.3">
      <c r="A20" s="383"/>
      <c r="B20" s="385"/>
      <c r="C20" s="426">
        <f>+workshop!Q11</f>
        <v>14.928331917288347</v>
      </c>
      <c r="D20" s="427">
        <f>+workshop!Q16</f>
        <v>15.839508082708965</v>
      </c>
    </row>
    <row r="21" spans="1:21" s="370" customFormat="1" hidden="1" x14ac:dyDescent="0.3">
      <c r="A21" s="383"/>
      <c r="B21" s="384">
        <f>+C21+D21</f>
        <v>17300</v>
      </c>
      <c r="C21" s="428">
        <f>+workshop!D8+workshop!D10</f>
        <v>11300</v>
      </c>
      <c r="D21" s="425">
        <f>+workshop!D15</f>
        <v>6000</v>
      </c>
      <c r="E21" s="431"/>
      <c r="F21" s="431"/>
      <c r="G21" s="431"/>
      <c r="H21" s="431"/>
      <c r="I21" s="431"/>
      <c r="J21" s="431"/>
      <c r="K21" s="431"/>
      <c r="L21" s="431"/>
      <c r="M21" s="431"/>
      <c r="N21" s="431"/>
      <c r="O21" s="431"/>
      <c r="P21" s="431"/>
      <c r="Q21" s="431"/>
      <c r="R21" s="431"/>
      <c r="S21" s="431"/>
    </row>
    <row r="22" spans="1:21" x14ac:dyDescent="0.3">
      <c r="A22" s="383" t="s">
        <v>44</v>
      </c>
      <c r="B22" s="385">
        <f>+C22+D22</f>
        <v>263727.19916161208</v>
      </c>
      <c r="C22" s="426">
        <f>+C21*C20</f>
        <v>168690.15066535832</v>
      </c>
      <c r="D22" s="427">
        <f>+D21*D20</f>
        <v>95037.048496253788</v>
      </c>
      <c r="I22" s="452">
        <f>B22+B24</f>
        <v>263727.19916161208</v>
      </c>
    </row>
    <row r="23" spans="1:21" s="370" customFormat="1" hidden="1" x14ac:dyDescent="0.3">
      <c r="A23" s="383"/>
      <c r="B23" s="384">
        <f>+C23+D23</f>
        <v>0</v>
      </c>
      <c r="C23" s="428">
        <f>+workshop!D9</f>
        <v>0</v>
      </c>
      <c r="D23" s="425"/>
      <c r="E23" s="431"/>
      <c r="F23" s="431"/>
      <c r="G23" s="431"/>
      <c r="H23" s="431"/>
      <c r="I23" s="431"/>
      <c r="J23" s="431"/>
      <c r="K23" s="431"/>
      <c r="L23" s="431"/>
      <c r="M23" s="431"/>
      <c r="N23" s="431"/>
      <c r="O23" s="431"/>
      <c r="P23" s="431"/>
      <c r="Q23" s="431"/>
      <c r="R23" s="431"/>
      <c r="S23" s="431"/>
    </row>
    <row r="24" spans="1:21" x14ac:dyDescent="0.3">
      <c r="A24" s="383" t="s">
        <v>1438</v>
      </c>
      <c r="B24" s="385">
        <f>+C24+D24</f>
        <v>0</v>
      </c>
      <c r="C24" s="426">
        <f>+C23*C20</f>
        <v>0</v>
      </c>
      <c r="D24" s="427">
        <f>+D23*D20</f>
        <v>0</v>
      </c>
    </row>
    <row r="25" spans="1:21" hidden="1" x14ac:dyDescent="0.3">
      <c r="A25" s="386"/>
      <c r="B25" s="387"/>
    </row>
    <row r="26" spans="1:21" s="358" customFormat="1" hidden="1" x14ac:dyDescent="0.3">
      <c r="A26" s="388"/>
      <c r="B26" s="389"/>
      <c r="C26" s="429" t="str">
        <f>+'COMMUNITY SERV'!B5</f>
        <v>V0157</v>
      </c>
      <c r="D26" s="430" t="str">
        <f>+'COMMUNITY SERV'!B11</f>
        <v>V0158</v>
      </c>
      <c r="E26" s="430" t="str">
        <f>+'COMMUNITY SERV'!B18</f>
        <v>V0159</v>
      </c>
      <c r="F26" s="430" t="str">
        <f>+'COMMUNITY SERV'!B25</f>
        <v>V0160</v>
      </c>
      <c r="G26" s="430" t="str">
        <f>+'COMMUNITY SERV'!B31</f>
        <v>V0111</v>
      </c>
      <c r="H26" s="430"/>
      <c r="I26" s="414"/>
      <c r="J26" s="414"/>
      <c r="K26" s="414"/>
      <c r="L26" s="414"/>
      <c r="M26" s="414"/>
      <c r="N26" s="414"/>
      <c r="O26" s="414"/>
      <c r="P26" s="414"/>
      <c r="Q26" s="414"/>
      <c r="R26" s="414"/>
      <c r="S26" s="414"/>
    </row>
    <row r="27" spans="1:21" s="371" customFormat="1" hidden="1" x14ac:dyDescent="0.3">
      <c r="A27" s="390"/>
      <c r="B27" s="385"/>
      <c r="C27" s="426">
        <f>+'COMMUNITY SERV'!Q9</f>
        <v>7.6510304338451185</v>
      </c>
      <c r="D27" s="427">
        <f>+'COMMUNITY SERV'!Q16</f>
        <v>9.2016115977651882</v>
      </c>
      <c r="E27" s="427">
        <f>+'COMMUNITY SERV'!Q23</f>
        <v>21.208628935072802</v>
      </c>
      <c r="F27" s="427">
        <f>+'COMMUNITY SERV'!Q29</f>
        <v>18.561959573463941</v>
      </c>
      <c r="G27" s="427">
        <f>+'COMMUNITY SERV'!Q40</f>
        <v>134.25432317913956</v>
      </c>
      <c r="H27" s="427"/>
      <c r="I27" s="424"/>
      <c r="J27" s="424"/>
      <c r="K27" s="424"/>
      <c r="L27" s="424"/>
      <c r="M27" s="433"/>
      <c r="N27" s="433"/>
      <c r="O27" s="433"/>
      <c r="P27" s="433"/>
      <c r="Q27" s="424"/>
      <c r="R27" s="424"/>
      <c r="S27" s="424"/>
      <c r="T27" s="369"/>
      <c r="U27" s="369"/>
    </row>
    <row r="28" spans="1:21" s="365" customFormat="1" hidden="1" x14ac:dyDescent="0.3">
      <c r="A28" s="383"/>
      <c r="B28" s="384">
        <f>+C28+D28+E28+F28+G28+H28</f>
        <v>76800</v>
      </c>
      <c r="C28" s="428">
        <f>+'COMMUNITY SERV'!D9</f>
        <v>20000</v>
      </c>
      <c r="D28" s="425">
        <f>+'COMMUNITY SERV'!D16</f>
        <v>15000</v>
      </c>
      <c r="E28" s="425">
        <f>+'COMMUNITY SERV'!D23</f>
        <v>25000</v>
      </c>
      <c r="F28" s="425">
        <f>+'COMMUNITY SERV'!D29</f>
        <v>15000</v>
      </c>
      <c r="G28" s="425">
        <f>+'COMMUNITY SERV'!D40</f>
        <v>1800</v>
      </c>
      <c r="H28" s="425"/>
      <c r="I28" s="421"/>
      <c r="J28" s="421"/>
      <c r="K28" s="421"/>
      <c r="L28" s="421"/>
      <c r="M28" s="421"/>
      <c r="N28" s="421"/>
      <c r="O28" s="421"/>
      <c r="P28" s="421"/>
      <c r="Q28" s="421"/>
      <c r="R28" s="421"/>
      <c r="S28" s="421"/>
    </row>
    <row r="29" spans="1:21" s="371" customFormat="1" x14ac:dyDescent="0.3">
      <c r="A29" s="390" t="s">
        <v>45</v>
      </c>
      <c r="B29" s="384">
        <f>+'COMMUNITY SERV'!O51+'COMMUNITY SERV'!O61</f>
        <v>1408560.8726531891</v>
      </c>
      <c r="C29" s="426">
        <f>+C28*C27</f>
        <v>153020.60867690237</v>
      </c>
      <c r="D29" s="427">
        <f>+D28*D27</f>
        <v>138024.17396647783</v>
      </c>
      <c r="E29" s="427">
        <f>+E28*E27</f>
        <v>530215.7233768201</v>
      </c>
      <c r="F29" s="427">
        <f>+F28*F27</f>
        <v>278429.39360195911</v>
      </c>
      <c r="G29" s="427">
        <f>+G28*G27</f>
        <v>241657.78172245121</v>
      </c>
      <c r="H29" s="427"/>
      <c r="I29" s="424"/>
      <c r="J29" s="424"/>
      <c r="K29" s="424"/>
      <c r="L29" s="424"/>
      <c r="M29" s="433"/>
      <c r="N29" s="433"/>
      <c r="O29" s="433"/>
      <c r="P29" s="433"/>
      <c r="Q29" s="424"/>
      <c r="R29" s="424"/>
      <c r="S29" s="424"/>
      <c r="T29" s="369"/>
      <c r="U29" s="369"/>
    </row>
    <row r="30" spans="1:21" hidden="1" x14ac:dyDescent="0.3">
      <c r="A30" s="386"/>
      <c r="B30" s="391"/>
      <c r="J30" s="431"/>
    </row>
    <row r="31" spans="1:21" hidden="1" x14ac:dyDescent="0.3">
      <c r="A31" s="386"/>
      <c r="B31" s="391"/>
      <c r="J31" s="431"/>
    </row>
    <row r="32" spans="1:21" s="358" customFormat="1" hidden="1" x14ac:dyDescent="0.3">
      <c r="A32" s="388"/>
      <c r="B32" s="389"/>
      <c r="C32" s="429" t="str">
        <f>+'COMMUNITY SERV'!B64</f>
        <v>V0116</v>
      </c>
      <c r="D32" s="430"/>
      <c r="E32" s="430" t="str">
        <f>+'COMMUNITY SERV'!B79</f>
        <v>V0163</v>
      </c>
      <c r="F32" s="430"/>
      <c r="G32" s="430"/>
      <c r="H32" s="430" t="str">
        <f>+'COMMUNITY SERV'!B90</f>
        <v>V0165</v>
      </c>
      <c r="I32" s="430" t="str">
        <f>+'COMMUNITY SERV'!B98</f>
        <v>V0166</v>
      </c>
      <c r="J32" s="414"/>
      <c r="K32" s="414"/>
      <c r="L32" s="414"/>
      <c r="M32" s="414"/>
      <c r="N32" s="414"/>
      <c r="O32" s="414"/>
      <c r="P32" s="414"/>
      <c r="Q32" s="414"/>
      <c r="R32" s="414"/>
      <c r="S32" s="414"/>
    </row>
    <row r="33" spans="1:21" s="371" customFormat="1" hidden="1" x14ac:dyDescent="0.3">
      <c r="A33" s="390"/>
      <c r="B33" s="385"/>
      <c r="C33" s="426">
        <f>+'COMMUNITY SERV'!Q77</f>
        <v>8.2808720477498863</v>
      </c>
      <c r="D33" s="427"/>
      <c r="E33" s="427">
        <f>+'COMMUNITY SERV'!Q88</f>
        <v>6.3636865222266117</v>
      </c>
      <c r="F33" s="427"/>
      <c r="G33" s="427"/>
      <c r="H33" s="427">
        <f>+'COMMUNITY SERV'!Q96</f>
        <v>15.983801441232718</v>
      </c>
      <c r="I33" s="427">
        <f>+'COMMUNITY SERV'!Q102</f>
        <v>31.869927985526608</v>
      </c>
      <c r="J33" s="433"/>
      <c r="K33" s="433"/>
      <c r="L33" s="433"/>
      <c r="M33" s="433"/>
      <c r="N33" s="433"/>
      <c r="O33" s="433"/>
      <c r="P33" s="433"/>
      <c r="Q33" s="424"/>
      <c r="R33" s="424"/>
      <c r="S33" s="424"/>
      <c r="T33" s="369"/>
      <c r="U33" s="369"/>
    </row>
    <row r="34" spans="1:21" s="370" customFormat="1" hidden="1" x14ac:dyDescent="0.3">
      <c r="A34" s="383"/>
      <c r="B34" s="384">
        <f>+C34+D34+E34+F34+G34+H34+I34</f>
        <v>698600</v>
      </c>
      <c r="C34" s="428">
        <f>+'COMMUNITY SERV'!D77</f>
        <v>351000</v>
      </c>
      <c r="D34" s="425"/>
      <c r="E34" s="425">
        <f>+'COMMUNITY SERV'!D88</f>
        <v>177600</v>
      </c>
      <c r="F34" s="425"/>
      <c r="G34" s="425"/>
      <c r="H34" s="425">
        <f>+'COMMUNITY SERV'!D96</f>
        <v>140000</v>
      </c>
      <c r="I34" s="425">
        <f>+'COMMUNITY SERV'!D102</f>
        <v>30000</v>
      </c>
      <c r="J34" s="431"/>
      <c r="K34" s="431"/>
      <c r="L34" s="431"/>
      <c r="M34" s="431"/>
      <c r="N34" s="431"/>
      <c r="O34" s="431"/>
      <c r="P34" s="431"/>
      <c r="Q34" s="431"/>
      <c r="R34" s="431"/>
      <c r="S34" s="431"/>
    </row>
    <row r="35" spans="1:21" s="370" customFormat="1" hidden="1" x14ac:dyDescent="0.3">
      <c r="A35" s="383" t="s">
        <v>51</v>
      </c>
      <c r="B35" s="384">
        <f>+'COMMUNITY SERV'!O104</f>
        <v>7230606.8564460352</v>
      </c>
      <c r="C35" s="428">
        <f>+C34*C33</f>
        <v>2906586.0887602102</v>
      </c>
      <c r="D35" s="425"/>
      <c r="E35" s="425">
        <f>+E34*E33</f>
        <v>1130190.7263474462</v>
      </c>
      <c r="F35" s="425"/>
      <c r="G35" s="425"/>
      <c r="H35" s="425">
        <f>+H34*H33</f>
        <v>2237732.2017725804</v>
      </c>
      <c r="I35" s="425">
        <f>+I34*I33</f>
        <v>956097.83956579829</v>
      </c>
      <c r="J35" s="431"/>
      <c r="K35" s="431"/>
      <c r="L35" s="431"/>
      <c r="M35" s="431"/>
      <c r="N35" s="431"/>
      <c r="O35" s="431"/>
      <c r="P35" s="431"/>
      <c r="Q35" s="431"/>
      <c r="R35" s="431"/>
      <c r="S35" s="431"/>
    </row>
    <row r="36" spans="1:21" s="365" customFormat="1" hidden="1" x14ac:dyDescent="0.3">
      <c r="A36" s="392" t="s">
        <v>456</v>
      </c>
      <c r="B36" s="384">
        <f t="shared" ref="B36:B41" si="4">+C36+D36+E36+F36+G36+H36+I36</f>
        <v>419160</v>
      </c>
      <c r="C36" s="428">
        <f t="shared" ref="C36:I36" si="5">+C34*60%</f>
        <v>210600</v>
      </c>
      <c r="D36" s="425"/>
      <c r="E36" s="425">
        <f t="shared" si="5"/>
        <v>106560</v>
      </c>
      <c r="F36" s="425"/>
      <c r="G36" s="425"/>
      <c r="H36" s="425">
        <f t="shared" si="5"/>
        <v>84000</v>
      </c>
      <c r="I36" s="425">
        <f t="shared" si="5"/>
        <v>18000</v>
      </c>
      <c r="J36" s="421"/>
      <c r="K36" s="421"/>
      <c r="L36" s="421"/>
      <c r="M36" s="421"/>
      <c r="N36" s="421"/>
      <c r="O36" s="421"/>
      <c r="P36" s="421"/>
      <c r="Q36" s="421"/>
      <c r="R36" s="421"/>
      <c r="S36" s="421"/>
    </row>
    <row r="37" spans="1:21" x14ac:dyDescent="0.3">
      <c r="A37" s="390" t="s">
        <v>48</v>
      </c>
      <c r="B37" s="384">
        <f t="shared" si="4"/>
        <v>4338364.1138676209</v>
      </c>
      <c r="C37" s="434">
        <f t="shared" ref="C37:I37" si="6">+C35*60%</f>
        <v>1743951.653256126</v>
      </c>
      <c r="D37" s="435"/>
      <c r="E37" s="435">
        <f t="shared" si="6"/>
        <v>678114.43580846768</v>
      </c>
      <c r="F37" s="435"/>
      <c r="G37" s="435"/>
      <c r="H37" s="435">
        <f t="shared" si="6"/>
        <v>1342639.3210635481</v>
      </c>
      <c r="I37" s="435">
        <f t="shared" si="6"/>
        <v>573658.70373947895</v>
      </c>
    </row>
    <row r="38" spans="1:21" s="365" customFormat="1" hidden="1" x14ac:dyDescent="0.3">
      <c r="A38" s="392" t="s">
        <v>53</v>
      </c>
      <c r="B38" s="384">
        <f t="shared" si="4"/>
        <v>209580</v>
      </c>
      <c r="C38" s="428">
        <f>+C34*30%</f>
        <v>105300</v>
      </c>
      <c r="D38" s="425"/>
      <c r="E38" s="425">
        <f>+E34*30%</f>
        <v>53280</v>
      </c>
      <c r="F38" s="425"/>
      <c r="G38" s="425"/>
      <c r="H38" s="425">
        <f>+H34*30%</f>
        <v>42000</v>
      </c>
      <c r="I38" s="425">
        <f>+I34*30%</f>
        <v>9000</v>
      </c>
      <c r="J38" s="421"/>
      <c r="K38" s="421"/>
      <c r="L38" s="421"/>
      <c r="M38" s="421"/>
      <c r="N38" s="421"/>
      <c r="O38" s="421"/>
      <c r="P38" s="421"/>
      <c r="Q38" s="421"/>
      <c r="R38" s="421"/>
      <c r="S38" s="421"/>
    </row>
    <row r="39" spans="1:21" x14ac:dyDescent="0.3">
      <c r="A39" s="390" t="s">
        <v>46</v>
      </c>
      <c r="B39" s="384">
        <f t="shared" si="4"/>
        <v>2169182.0569338105</v>
      </c>
      <c r="C39" s="426">
        <f>+C35*30%</f>
        <v>871975.82662806299</v>
      </c>
      <c r="D39" s="427"/>
      <c r="E39" s="427">
        <f>+E35*30%</f>
        <v>339057.21790423384</v>
      </c>
      <c r="F39" s="427"/>
      <c r="G39" s="427"/>
      <c r="H39" s="427">
        <f>+H35*30%</f>
        <v>671319.66053177405</v>
      </c>
      <c r="I39" s="427">
        <f>+I35*30%</f>
        <v>286829.35186973948</v>
      </c>
    </row>
    <row r="40" spans="1:21" s="365" customFormat="1" ht="12" hidden="1" customHeight="1" x14ac:dyDescent="0.3">
      <c r="A40" s="393" t="s">
        <v>457</v>
      </c>
      <c r="B40" s="384">
        <f t="shared" si="4"/>
        <v>69860</v>
      </c>
      <c r="C40" s="428">
        <f>+C34*10%</f>
        <v>35100</v>
      </c>
      <c r="D40" s="425"/>
      <c r="E40" s="425">
        <f>+E34*10%</f>
        <v>17760</v>
      </c>
      <c r="F40" s="425"/>
      <c r="G40" s="425"/>
      <c r="H40" s="425">
        <f>+H34*10%</f>
        <v>14000</v>
      </c>
      <c r="I40" s="425">
        <f>+I34*10%</f>
        <v>3000</v>
      </c>
      <c r="J40" s="421"/>
      <c r="K40" s="421"/>
      <c r="L40" s="421"/>
      <c r="M40" s="421"/>
      <c r="N40" s="421"/>
      <c r="O40" s="421"/>
      <c r="P40" s="421"/>
      <c r="Q40" s="421"/>
      <c r="R40" s="421"/>
      <c r="S40" s="421"/>
    </row>
    <row r="41" spans="1:21" x14ac:dyDescent="0.3">
      <c r="A41" s="390" t="s">
        <v>47</v>
      </c>
      <c r="B41" s="384">
        <f t="shared" si="4"/>
        <v>723060.68564460357</v>
      </c>
      <c r="C41" s="426">
        <f>+C35*10%</f>
        <v>290658.60887602106</v>
      </c>
      <c r="D41" s="427"/>
      <c r="E41" s="427">
        <f>+E35*10%</f>
        <v>113019.07263474463</v>
      </c>
      <c r="F41" s="427"/>
      <c r="G41" s="427"/>
      <c r="H41" s="427">
        <f>+H35*10%</f>
        <v>223773.22017725804</v>
      </c>
      <c r="I41" s="427">
        <f>+I35*10%</f>
        <v>95609.783956579835</v>
      </c>
    </row>
    <row r="42" spans="1:21" hidden="1" x14ac:dyDescent="0.3">
      <c r="A42" s="393"/>
      <c r="B42" s="387"/>
      <c r="C42" s="431"/>
      <c r="D42" s="431"/>
      <c r="E42" s="431"/>
      <c r="F42" s="431"/>
      <c r="G42" s="431"/>
      <c r="H42" s="431"/>
    </row>
    <row r="43" spans="1:21" hidden="1" x14ac:dyDescent="0.3">
      <c r="A43" s="383"/>
      <c r="B43" s="385"/>
      <c r="C43" s="429" t="str">
        <f>+EEM!B5</f>
        <v>V0167</v>
      </c>
      <c r="D43" s="430" t="str">
        <f>+EEM!B11</f>
        <v>V0168</v>
      </c>
      <c r="E43" s="430" t="str">
        <f>+EEM!B27</f>
        <v>V0169</v>
      </c>
      <c r="F43" s="430" t="str">
        <f>+EEM!B51</f>
        <v>V0124</v>
      </c>
      <c r="G43" s="430" t="str">
        <f>+EEM!B58</f>
        <v>V0125</v>
      </c>
      <c r="H43" s="430"/>
      <c r="I43" s="430" t="str">
        <f>+EEM!B65</f>
        <v>V0170</v>
      </c>
      <c r="J43" s="430" t="str">
        <f>+EEM!B72</f>
        <v>V0171</v>
      </c>
      <c r="K43" s="430"/>
      <c r="L43" s="430" t="str">
        <f>+EEM!B79</f>
        <v>V0172</v>
      </c>
    </row>
    <row r="44" spans="1:21" s="371" customFormat="1" hidden="1" x14ac:dyDescent="0.3">
      <c r="A44" s="390"/>
      <c r="B44" s="385"/>
      <c r="C44" s="426">
        <f>+EEM!Q9</f>
        <v>10.692366986339831</v>
      </c>
      <c r="D44" s="427">
        <f>+EEM!Q24</f>
        <v>19.132801357546114</v>
      </c>
      <c r="E44" s="427">
        <f>+EEM!Q49</f>
        <v>5.5369263742030812</v>
      </c>
      <c r="F44" s="427">
        <f>+EEM!Q55</f>
        <v>445.3474427938163</v>
      </c>
      <c r="G44" s="427">
        <f>+EEM!Q62</f>
        <v>2424.2295775512243</v>
      </c>
      <c r="H44" s="427"/>
      <c r="I44" s="427">
        <f>+EEM!Q70</f>
        <v>30.14721552331434</v>
      </c>
      <c r="J44" s="427">
        <f>+EEM!Q77</f>
        <v>42.191803820853401</v>
      </c>
      <c r="K44" s="427"/>
      <c r="L44" s="427">
        <f>+EEM!Q83</f>
        <v>47.115419260545337</v>
      </c>
      <c r="M44" s="433"/>
      <c r="N44" s="433"/>
      <c r="O44" s="433"/>
      <c r="P44" s="433"/>
      <c r="Q44" s="424"/>
      <c r="R44" s="424"/>
      <c r="S44" s="424"/>
      <c r="T44" s="369"/>
      <c r="U44" s="369"/>
    </row>
    <row r="45" spans="1:21" s="372" customFormat="1" hidden="1" x14ac:dyDescent="0.3">
      <c r="A45" s="390"/>
      <c r="B45" s="384">
        <f>+C45+D45+E45+F45+G45+H45+I45+J45+K45+L45</f>
        <v>635035</v>
      </c>
      <c r="C45" s="436">
        <f>+EEM!D9</f>
        <v>15000</v>
      </c>
      <c r="D45" s="437">
        <f>+EEM!D24</f>
        <v>128000</v>
      </c>
      <c r="E45" s="437">
        <f>+EEM!D49</f>
        <v>450000</v>
      </c>
      <c r="F45" s="437">
        <f>+EEM!D55</f>
        <v>10</v>
      </c>
      <c r="G45" s="437">
        <f>+EEM!D62</f>
        <v>25</v>
      </c>
      <c r="H45" s="437"/>
      <c r="I45" s="437">
        <f>+EEM!D70</f>
        <v>16000</v>
      </c>
      <c r="J45" s="437">
        <f>+EEM!D77</f>
        <v>16000</v>
      </c>
      <c r="K45" s="437"/>
      <c r="L45" s="437">
        <f>+EEM!D81</f>
        <v>10000</v>
      </c>
      <c r="M45" s="438"/>
      <c r="N45" s="438"/>
      <c r="O45" s="438"/>
      <c r="P45" s="438"/>
      <c r="Q45" s="438"/>
      <c r="R45" s="439"/>
      <c r="S45" s="439"/>
      <c r="T45" s="373"/>
      <c r="U45" s="373"/>
    </row>
    <row r="46" spans="1:21" hidden="1" x14ac:dyDescent="0.3">
      <c r="A46" s="383" t="s">
        <v>51</v>
      </c>
      <c r="B46" s="385">
        <f>+EEM!O108</f>
        <v>14005314.732568592</v>
      </c>
      <c r="C46" s="426">
        <f>+C44*C45</f>
        <v>160385.50479509745</v>
      </c>
      <c r="D46" s="427">
        <f t="shared" ref="D46:L46" si="7">+D44*D45</f>
        <v>2448998.5737659028</v>
      </c>
      <c r="E46" s="427">
        <f t="shared" si="7"/>
        <v>2491616.8683913867</v>
      </c>
      <c r="F46" s="427">
        <f t="shared" si="7"/>
        <v>4453.474427938163</v>
      </c>
      <c r="G46" s="427">
        <f t="shared" si="7"/>
        <v>60605.739438780605</v>
      </c>
      <c r="H46" s="427"/>
      <c r="I46" s="427">
        <f t="shared" si="7"/>
        <v>482355.44837302947</v>
      </c>
      <c r="J46" s="427">
        <f t="shared" si="7"/>
        <v>675068.86113365437</v>
      </c>
      <c r="K46" s="427"/>
      <c r="L46" s="427">
        <f t="shared" si="7"/>
        <v>471154.19260545337</v>
      </c>
      <c r="O46" s="432"/>
    </row>
    <row r="47" spans="1:21" s="374" customFormat="1" hidden="1" x14ac:dyDescent="0.3">
      <c r="A47" s="394" t="s">
        <v>52</v>
      </c>
      <c r="B47" s="384">
        <f>+B45*70%</f>
        <v>444524.5</v>
      </c>
      <c r="C47" s="440">
        <f t="shared" ref="C47:J48" si="8">+C45*70%</f>
        <v>10500</v>
      </c>
      <c r="D47" s="441">
        <f t="shared" si="8"/>
        <v>89600</v>
      </c>
      <c r="E47" s="441">
        <f t="shared" si="8"/>
        <v>315000</v>
      </c>
      <c r="F47" s="441">
        <f t="shared" si="8"/>
        <v>7</v>
      </c>
      <c r="G47" s="441">
        <f t="shared" si="8"/>
        <v>17.5</v>
      </c>
      <c r="H47" s="441"/>
      <c r="I47" s="441">
        <f t="shared" si="8"/>
        <v>11200</v>
      </c>
      <c r="J47" s="441">
        <f t="shared" si="8"/>
        <v>11200</v>
      </c>
      <c r="K47" s="441"/>
      <c r="L47" s="441">
        <f>+L45*70%</f>
        <v>7000</v>
      </c>
      <c r="M47" s="442"/>
      <c r="N47" s="442"/>
      <c r="O47" s="442"/>
      <c r="P47" s="442"/>
      <c r="Q47" s="442"/>
      <c r="R47" s="442"/>
      <c r="S47" s="442"/>
    </row>
    <row r="48" spans="1:21" x14ac:dyDescent="0.3">
      <c r="A48" s="383" t="s">
        <v>49</v>
      </c>
      <c r="B48" s="385">
        <f>SUM(C48:L48)</f>
        <v>4756247.0640518693</v>
      </c>
      <c r="C48" s="440">
        <f t="shared" si="8"/>
        <v>112269.85335656822</v>
      </c>
      <c r="D48" s="441">
        <f t="shared" si="8"/>
        <v>1714299.0016361319</v>
      </c>
      <c r="E48" s="441">
        <f t="shared" si="8"/>
        <v>1744131.8078739706</v>
      </c>
      <c r="F48" s="441">
        <f t="shared" si="8"/>
        <v>3117.4320995567141</v>
      </c>
      <c r="G48" s="441">
        <f t="shared" si="8"/>
        <v>42424.017607146423</v>
      </c>
      <c r="H48" s="441"/>
      <c r="I48" s="441">
        <f t="shared" si="8"/>
        <v>337648.81386112061</v>
      </c>
      <c r="J48" s="441">
        <f t="shared" si="8"/>
        <v>472548.20279355801</v>
      </c>
      <c r="K48" s="441"/>
      <c r="L48" s="441">
        <f>+L46*70%</f>
        <v>329807.93482381734</v>
      </c>
      <c r="O48" s="438"/>
      <c r="P48" s="438"/>
      <c r="Q48" s="439"/>
    </row>
    <row r="49" spans="1:21" s="374" customFormat="1" hidden="1" x14ac:dyDescent="0.3">
      <c r="A49" s="394" t="s">
        <v>53</v>
      </c>
      <c r="B49" s="384">
        <f>+B45*30%</f>
        <v>190510.5</v>
      </c>
      <c r="C49" s="440">
        <f t="shared" ref="C49:J50" si="9">+C45*30%</f>
        <v>4500</v>
      </c>
      <c r="D49" s="441">
        <f t="shared" si="9"/>
        <v>38400</v>
      </c>
      <c r="E49" s="441">
        <f t="shared" si="9"/>
        <v>135000</v>
      </c>
      <c r="F49" s="441">
        <f t="shared" si="9"/>
        <v>3</v>
      </c>
      <c r="G49" s="441">
        <f t="shared" si="9"/>
        <v>7.5</v>
      </c>
      <c r="H49" s="441"/>
      <c r="I49" s="441">
        <f t="shared" si="9"/>
        <v>4800</v>
      </c>
      <c r="J49" s="441">
        <f t="shared" si="9"/>
        <v>4800</v>
      </c>
      <c r="K49" s="441"/>
      <c r="L49" s="441">
        <f>+L45*30%</f>
        <v>3000</v>
      </c>
      <c r="M49" s="442"/>
      <c r="N49" s="442"/>
      <c r="O49" s="442"/>
      <c r="P49" s="442"/>
      <c r="Q49" s="442"/>
      <c r="R49" s="442"/>
      <c r="S49" s="442"/>
    </row>
    <row r="50" spans="1:21" x14ac:dyDescent="0.3">
      <c r="A50" s="383" t="s">
        <v>50</v>
      </c>
      <c r="B50" s="385">
        <f>SUM(C50:L50)</f>
        <v>2038391.5988793727</v>
      </c>
      <c r="C50" s="440">
        <f t="shared" si="9"/>
        <v>48115.651438529232</v>
      </c>
      <c r="D50" s="441">
        <f t="shared" si="9"/>
        <v>734699.57212977076</v>
      </c>
      <c r="E50" s="441">
        <f t="shared" si="9"/>
        <v>747485.06051741599</v>
      </c>
      <c r="F50" s="441">
        <f t="shared" si="9"/>
        <v>1336.0423283814489</v>
      </c>
      <c r="G50" s="441">
        <f t="shared" si="9"/>
        <v>18181.721831634182</v>
      </c>
      <c r="H50" s="441"/>
      <c r="I50" s="441">
        <f t="shared" si="9"/>
        <v>144706.63451190884</v>
      </c>
      <c r="J50" s="441">
        <f t="shared" si="9"/>
        <v>202520.6583400963</v>
      </c>
      <c r="K50" s="441"/>
      <c r="L50" s="441">
        <f>+L46*30%</f>
        <v>141346.257781636</v>
      </c>
    </row>
    <row r="51" spans="1:21" hidden="1" x14ac:dyDescent="0.3">
      <c r="A51" s="386"/>
      <c r="B51" s="387"/>
      <c r="H51" s="432"/>
    </row>
    <row r="52" spans="1:21" s="358" customFormat="1" hidden="1" x14ac:dyDescent="0.3">
      <c r="A52" s="388"/>
      <c r="B52" s="389"/>
      <c r="C52" s="429" t="str">
        <f>+CEM!B11</f>
        <v>V0174</v>
      </c>
      <c r="D52" s="430" t="str">
        <f>+CEM!B18</f>
        <v>V0175</v>
      </c>
      <c r="E52" s="430" t="str">
        <f>+CEM!B25</f>
        <v>V0176</v>
      </c>
      <c r="F52" s="430" t="str">
        <f>+CEM!B33</f>
        <v>V0177</v>
      </c>
      <c r="G52" s="430" t="str">
        <f>+CEM!B38</f>
        <v>V0178</v>
      </c>
      <c r="H52" s="430" t="str">
        <f>+CEM!B43</f>
        <v>V0179</v>
      </c>
      <c r="I52" s="430" t="str">
        <f>+CEM!B51</f>
        <v>V0151</v>
      </c>
      <c r="J52" s="430" t="str">
        <f>+CEM!B60</f>
        <v>V0180</v>
      </c>
      <c r="K52" s="430" t="str">
        <f>+CEM!B66</f>
        <v>V0181</v>
      </c>
      <c r="L52" s="430" t="str">
        <f>+CEM!B72</f>
        <v>V0182</v>
      </c>
      <c r="M52" s="430" t="str">
        <f>+CEM!B78</f>
        <v>V0183</v>
      </c>
      <c r="N52" s="430" t="str">
        <f>+CEM!B87</f>
        <v>V0134</v>
      </c>
      <c r="O52" s="430" t="str">
        <f>+CEM!B109</f>
        <v>V0135</v>
      </c>
      <c r="P52" s="414"/>
      <c r="Q52" s="414"/>
      <c r="R52" s="414"/>
      <c r="S52" s="414"/>
    </row>
    <row r="53" spans="1:21" s="371" customFormat="1" hidden="1" x14ac:dyDescent="0.3">
      <c r="A53" s="390"/>
      <c r="B53" s="385"/>
      <c r="C53" s="426">
        <f>+CEM!Q16</f>
        <v>6.8007980690894145</v>
      </c>
      <c r="D53" s="427">
        <f>+CEM!Q23</f>
        <v>10.07614772872299</v>
      </c>
      <c r="E53" s="427">
        <f>+CEM!Q31</f>
        <v>21.98278515567571</v>
      </c>
      <c r="F53" s="427">
        <f>+CEM!Q36</f>
        <v>32.508688602143096</v>
      </c>
      <c r="G53" s="427">
        <f>+CEM!Q41</f>
        <v>30.068191533559084</v>
      </c>
      <c r="H53" s="427">
        <f>+CEM!Q48</f>
        <v>29.249694751450022</v>
      </c>
      <c r="I53" s="427">
        <f>+CEM!Q58</f>
        <v>1358.8486010771317</v>
      </c>
      <c r="J53" s="427">
        <f>+CEM!Q64</f>
        <v>657.36561690837448</v>
      </c>
      <c r="K53" s="427">
        <f>+CEM!Q70</f>
        <v>797.83575122743389</v>
      </c>
      <c r="L53" s="427">
        <f>+CEM!Q76</f>
        <v>33.898432850047932</v>
      </c>
      <c r="M53" s="427">
        <f>+CEM!Q84</f>
        <v>7.5245196504813894</v>
      </c>
      <c r="N53" s="427">
        <f>+CEM!Q104</f>
        <v>153.02838468944131</v>
      </c>
      <c r="O53" s="427">
        <f>+CEM!Q114</f>
        <v>212.06823341225038</v>
      </c>
      <c r="P53" s="433"/>
      <c r="Q53" s="424"/>
      <c r="R53" s="424"/>
      <c r="S53" s="424"/>
      <c r="T53" s="369"/>
      <c r="U53" s="369"/>
    </row>
    <row r="54" spans="1:21" s="365" customFormat="1" hidden="1" x14ac:dyDescent="0.3">
      <c r="A54" s="383"/>
      <c r="B54" s="384">
        <f>+C54+D54+E54+F54+G54+H54+I54+J54+K54+L54+M54+N54+O54</f>
        <v>249535</v>
      </c>
      <c r="C54" s="428">
        <f>+CEM!D16</f>
        <v>70000</v>
      </c>
      <c r="D54" s="425">
        <f>+CEM!D20+CEM!D21</f>
        <v>30000</v>
      </c>
      <c r="E54" s="425">
        <f>+CEM!D27+CEM!D28+CEM!D30</f>
        <v>33000</v>
      </c>
      <c r="F54" s="425">
        <f>+CEM!D36</f>
        <v>12000</v>
      </c>
      <c r="G54" s="425">
        <f>+CEM!D41</f>
        <v>15000</v>
      </c>
      <c r="H54" s="425">
        <f>+CEM!D48</f>
        <v>30000</v>
      </c>
      <c r="I54" s="425">
        <f>+CEM!D58</f>
        <v>2200</v>
      </c>
      <c r="J54" s="425">
        <f>+CEM!D64</f>
        <v>800</v>
      </c>
      <c r="K54" s="425">
        <f>+CEM!D70</f>
        <v>800</v>
      </c>
      <c r="L54" s="425">
        <f>+CEM!D76</f>
        <v>15000</v>
      </c>
      <c r="M54" s="425">
        <f>+CEM!D84</f>
        <v>40000</v>
      </c>
      <c r="N54" s="425">
        <f>+CEM!D104</f>
        <v>475</v>
      </c>
      <c r="O54" s="425">
        <f>+CEM!D114</f>
        <v>260</v>
      </c>
      <c r="P54" s="421"/>
      <c r="Q54" s="421"/>
      <c r="R54" s="421"/>
      <c r="S54" s="421"/>
    </row>
    <row r="55" spans="1:21" x14ac:dyDescent="0.3">
      <c r="A55" s="383" t="s">
        <v>54</v>
      </c>
      <c r="B55" s="385">
        <f>+CEM!O126</f>
        <v>8271494.9850167455</v>
      </c>
      <c r="C55" s="426">
        <f t="shared" ref="C55:H55" si="10">+C53*C54</f>
        <v>476055.86483625899</v>
      </c>
      <c r="D55" s="427">
        <f t="shared" si="10"/>
        <v>302284.43186168972</v>
      </c>
      <c r="E55" s="427">
        <f t="shared" si="10"/>
        <v>725431.9101372984</v>
      </c>
      <c r="F55" s="427">
        <f t="shared" si="10"/>
        <v>390104.26322571712</v>
      </c>
      <c r="G55" s="427">
        <f t="shared" si="10"/>
        <v>451022.87300338625</v>
      </c>
      <c r="H55" s="427">
        <f t="shared" si="10"/>
        <v>877490.84254350071</v>
      </c>
      <c r="I55" s="427">
        <f>I54*I53</f>
        <v>2989466.9223696897</v>
      </c>
      <c r="J55" s="427">
        <f t="shared" ref="J55:O55" si="11">+J53*J54</f>
        <v>525892.4935266996</v>
      </c>
      <c r="K55" s="427">
        <f t="shared" si="11"/>
        <v>638268.60098194715</v>
      </c>
      <c r="L55" s="427">
        <f t="shared" si="11"/>
        <v>508476.49275071896</v>
      </c>
      <c r="M55" s="427">
        <f t="shared" si="11"/>
        <v>300980.78601925558</v>
      </c>
      <c r="N55" s="427">
        <f t="shared" si="11"/>
        <v>72688.482727484617</v>
      </c>
      <c r="O55" s="427">
        <f t="shared" si="11"/>
        <v>55137.740687185098</v>
      </c>
      <c r="Q55" s="424"/>
      <c r="R55" s="424"/>
      <c r="S55" s="424"/>
      <c r="T55" s="369"/>
      <c r="U55" s="369"/>
    </row>
    <row r="56" spans="1:21" hidden="1" x14ac:dyDescent="0.3">
      <c r="A56" s="386"/>
      <c r="B56" s="387"/>
    </row>
    <row r="57" spans="1:21" s="358" customFormat="1" hidden="1" x14ac:dyDescent="0.3">
      <c r="A57" s="388"/>
      <c r="B57" s="389"/>
      <c r="C57" s="429" t="str">
        <f>+CEM!B128</f>
        <v>V0139</v>
      </c>
      <c r="D57" s="430" t="str">
        <f>+CEM!B5</f>
        <v>V0173</v>
      </c>
      <c r="E57" s="430" t="str">
        <f>+CEM!B18</f>
        <v>V0175</v>
      </c>
      <c r="F57" s="430" t="str">
        <f>+CEM!B25</f>
        <v>V0176</v>
      </c>
      <c r="G57" s="414"/>
      <c r="H57" s="414"/>
      <c r="I57" s="414"/>
      <c r="J57" s="414"/>
      <c r="K57" s="414"/>
      <c r="L57" s="414"/>
      <c r="M57" s="414"/>
      <c r="N57" s="414"/>
      <c r="O57" s="414"/>
      <c r="P57" s="414"/>
      <c r="Q57" s="414"/>
      <c r="R57" s="414"/>
      <c r="S57" s="414"/>
    </row>
    <row r="58" spans="1:21" hidden="1" x14ac:dyDescent="0.3">
      <c r="A58" s="383"/>
      <c r="B58" s="385"/>
      <c r="C58" s="426">
        <f>+CEM!Q131</f>
        <v>101.41777586463262</v>
      </c>
      <c r="D58" s="427">
        <f>+CEM!Q9</f>
        <v>7.6869509404942935</v>
      </c>
      <c r="E58" s="427">
        <f>+CEM!Q23</f>
        <v>10.07614772872299</v>
      </c>
      <c r="F58" s="427">
        <f>+CEM!Q31</f>
        <v>21.98278515567571</v>
      </c>
    </row>
    <row r="59" spans="1:21" s="365" customFormat="1" hidden="1" x14ac:dyDescent="0.3">
      <c r="A59" s="383"/>
      <c r="B59" s="384">
        <f>+C59+D59+E59+F59</f>
        <v>58100</v>
      </c>
      <c r="C59" s="428">
        <f>+CEM!D131</f>
        <v>100</v>
      </c>
      <c r="D59" s="425">
        <f>+CEM!D9</f>
        <v>40000</v>
      </c>
      <c r="E59" s="425">
        <f>+CEM!D22</f>
        <v>10000</v>
      </c>
      <c r="F59" s="425">
        <f>+CEM!D29</f>
        <v>8000</v>
      </c>
      <c r="G59" s="421"/>
      <c r="H59" s="421"/>
      <c r="I59" s="421"/>
      <c r="J59" s="421"/>
      <c r="K59" s="421"/>
      <c r="L59" s="421"/>
      <c r="M59" s="421"/>
      <c r="N59" s="421"/>
      <c r="O59" s="421"/>
      <c r="P59" s="421"/>
      <c r="Q59" s="421"/>
      <c r="R59" s="421"/>
      <c r="S59" s="421"/>
    </row>
    <row r="60" spans="1:21" x14ac:dyDescent="0.3">
      <c r="A60" s="383" t="s">
        <v>55</v>
      </c>
      <c r="B60" s="385">
        <f>+CEM!O133</f>
        <v>646980.4810800011</v>
      </c>
      <c r="C60" s="426">
        <f>+C59*C58</f>
        <v>10141.777586463262</v>
      </c>
      <c r="D60" s="427">
        <f>+D59*D58</f>
        <v>307478.03761977173</v>
      </c>
      <c r="E60" s="427">
        <f>+E59*E58</f>
        <v>100761.47728722991</v>
      </c>
      <c r="F60" s="427">
        <f>+F59*F58</f>
        <v>175862.28124540567</v>
      </c>
      <c r="O60" s="432"/>
      <c r="Q60" s="432"/>
    </row>
    <row r="61" spans="1:21" hidden="1" x14ac:dyDescent="0.3">
      <c r="A61" s="386"/>
      <c r="B61" s="387"/>
    </row>
    <row r="62" spans="1:21" s="358" customFormat="1" hidden="1" x14ac:dyDescent="0.3">
      <c r="A62" s="388"/>
      <c r="B62" s="389"/>
      <c r="C62" s="429" t="str">
        <f>+MDC!B5</f>
        <v>V0184</v>
      </c>
      <c r="D62" s="430" t="str">
        <f>+MDC!B20</f>
        <v>V0185</v>
      </c>
      <c r="E62" s="430" t="str">
        <f>+MDC!B27</f>
        <v>V0186</v>
      </c>
      <c r="F62" s="430" t="str">
        <f>+MDC!B32</f>
        <v>V0187</v>
      </c>
      <c r="G62" s="430" t="str">
        <f>+MDC!B37</f>
        <v>V0188</v>
      </c>
      <c r="H62" s="430" t="str">
        <f>+MDC!B42</f>
        <v>V0189</v>
      </c>
      <c r="I62" s="430" t="str">
        <f>+MDC!B48</f>
        <v>V0143</v>
      </c>
      <c r="J62" s="430" t="str">
        <f>+MDC!B54</f>
        <v>V0144</v>
      </c>
      <c r="K62" s="430" t="str">
        <f>+MDC!B60</f>
        <v>V0145</v>
      </c>
      <c r="L62" s="430" t="str">
        <f>+MDC!B75</f>
        <v>V0148</v>
      </c>
      <c r="M62" s="430" t="str">
        <f>+MDC!B81</f>
        <v>V0149</v>
      </c>
      <c r="N62" s="414"/>
      <c r="O62" s="414"/>
      <c r="P62" s="414"/>
      <c r="Q62" s="414"/>
      <c r="R62" s="414"/>
      <c r="S62" s="414"/>
    </row>
    <row r="63" spans="1:21" s="375" customFormat="1" hidden="1" x14ac:dyDescent="0.3">
      <c r="A63" s="395"/>
      <c r="B63" s="396"/>
      <c r="C63" s="426">
        <f>+MDC!Q18</f>
        <v>7.3274686397705304</v>
      </c>
      <c r="D63" s="427">
        <f>+MDC!Q25</f>
        <v>8.5656320382292765</v>
      </c>
      <c r="E63" s="427">
        <f>+MDC!Q30</f>
        <v>21.142537325014068</v>
      </c>
      <c r="F63" s="427">
        <f>+MDC!Q35</f>
        <v>29.314228329862672</v>
      </c>
      <c r="G63" s="427">
        <f>+MDC!Q40</f>
        <v>23.955682272891163</v>
      </c>
      <c r="H63" s="427">
        <f>+MDC!Q45</f>
        <v>21.494859281273971</v>
      </c>
      <c r="I63" s="427" t="e">
        <f>+MDC!Q52</f>
        <v>#DIV/0!</v>
      </c>
      <c r="J63" s="427">
        <f>+MDC!Q58</f>
        <v>118.27558984298906</v>
      </c>
      <c r="K63" s="427">
        <f>+MDC!Q64</f>
        <v>26.308956053342182</v>
      </c>
      <c r="L63" s="427">
        <f>+MDC!Q79</f>
        <v>12.880888157618001</v>
      </c>
      <c r="M63" s="427" t="e">
        <f>+MDC!Q85</f>
        <v>#DIV/0!</v>
      </c>
      <c r="N63" s="443"/>
      <c r="O63" s="443"/>
      <c r="P63" s="443"/>
      <c r="Q63" s="444"/>
      <c r="R63" s="444"/>
      <c r="S63" s="444"/>
      <c r="T63" s="376"/>
      <c r="U63" s="376"/>
    </row>
    <row r="64" spans="1:21" s="377" customFormat="1" hidden="1" x14ac:dyDescent="0.3">
      <c r="A64" s="397"/>
      <c r="B64" s="398">
        <f>+C64+D64+E64+F64+G64+H64+I64+J64+K64+L64+M64</f>
        <v>406100</v>
      </c>
      <c r="C64" s="445">
        <f>+C66+C68+C70</f>
        <v>216000</v>
      </c>
      <c r="D64" s="446">
        <f t="shared" ref="D64:K64" si="12">+D66+D68+D70</f>
        <v>45000</v>
      </c>
      <c r="E64" s="446">
        <f t="shared" si="12"/>
        <v>15000</v>
      </c>
      <c r="F64" s="446">
        <f t="shared" si="12"/>
        <v>15000</v>
      </c>
      <c r="G64" s="446">
        <f t="shared" si="12"/>
        <v>25000</v>
      </c>
      <c r="H64" s="446">
        <f t="shared" si="12"/>
        <v>35000</v>
      </c>
      <c r="I64" s="446">
        <f t="shared" si="12"/>
        <v>0</v>
      </c>
      <c r="J64" s="446">
        <f t="shared" si="12"/>
        <v>100</v>
      </c>
      <c r="K64" s="446">
        <f t="shared" si="12"/>
        <v>25000</v>
      </c>
      <c r="L64" s="446">
        <f>+L66+L68+L70</f>
        <v>30000</v>
      </c>
      <c r="M64" s="446">
        <f>+M66+M68+M70</f>
        <v>0</v>
      </c>
      <c r="N64" s="447"/>
      <c r="O64" s="447"/>
      <c r="P64" s="447"/>
      <c r="Q64" s="447"/>
      <c r="R64" s="447"/>
      <c r="S64" s="447"/>
    </row>
    <row r="65" spans="1:47" s="378" customFormat="1" hidden="1" x14ac:dyDescent="0.3">
      <c r="A65" s="397" t="s">
        <v>59</v>
      </c>
      <c r="B65" s="398" t="e">
        <f>+C65+D65+E65+F65+G65+H65+I65+J65+K65+L65+M65</f>
        <v>#DIV/0!</v>
      </c>
      <c r="C65" s="448">
        <f>+C67+C69+C71</f>
        <v>1582733.2261904345</v>
      </c>
      <c r="D65" s="449">
        <f t="shared" ref="D65:K65" si="13">+D67+D69+D71</f>
        <v>385453.44172031747</v>
      </c>
      <c r="E65" s="449">
        <f t="shared" si="13"/>
        <v>317138.05987521104</v>
      </c>
      <c r="F65" s="449">
        <f t="shared" si="13"/>
        <v>439713.4249479401</v>
      </c>
      <c r="G65" s="449">
        <f t="shared" si="13"/>
        <v>598892.05682227912</v>
      </c>
      <c r="H65" s="449">
        <f t="shared" si="13"/>
        <v>752320.07484458899</v>
      </c>
      <c r="I65" s="449" t="e">
        <f t="shared" si="13"/>
        <v>#DIV/0!</v>
      </c>
      <c r="J65" s="449">
        <f t="shared" si="13"/>
        <v>11827.558984298907</v>
      </c>
      <c r="K65" s="449">
        <f t="shared" si="13"/>
        <v>657723.90133355453</v>
      </c>
      <c r="L65" s="449">
        <f>+L67+L69+L71</f>
        <v>386426.64472854004</v>
      </c>
      <c r="M65" s="449" t="e">
        <f>+M67+M69+M71</f>
        <v>#DIV/0!</v>
      </c>
      <c r="N65" s="450"/>
      <c r="O65" s="450"/>
      <c r="P65" s="450"/>
      <c r="Q65" s="450"/>
      <c r="R65" s="450"/>
      <c r="S65" s="450"/>
    </row>
    <row r="66" spans="1:47" s="365" customFormat="1" hidden="1" x14ac:dyDescent="0.3">
      <c r="A66" s="383"/>
      <c r="B66" s="384">
        <f t="shared" ref="B66:B71" si="14">+C66+D66+E66+F66+G66+H66+I66+J66+K66+L66+M66</f>
        <v>263000</v>
      </c>
      <c r="C66" s="428">
        <f>+MDC!D7+MDC!D8+MDC!D9+MDC!D13+MDC!D14+MDC!D15</f>
        <v>128000</v>
      </c>
      <c r="D66" s="425">
        <f>+MDC!D25</f>
        <v>45000</v>
      </c>
      <c r="E66" s="425">
        <f>+MDC!D30</f>
        <v>15000</v>
      </c>
      <c r="F66" s="425">
        <f>+MDC!D35</f>
        <v>15000</v>
      </c>
      <c r="G66" s="425"/>
      <c r="H66" s="425">
        <f>+MDC!D45</f>
        <v>35000</v>
      </c>
      <c r="I66" s="425">
        <f>+MDC!D52</f>
        <v>0</v>
      </c>
      <c r="J66" s="425"/>
      <c r="K66" s="425">
        <f>+MDC!D64</f>
        <v>25000</v>
      </c>
      <c r="L66" s="425"/>
      <c r="M66" s="425">
        <f>+MDC!D85</f>
        <v>0</v>
      </c>
      <c r="N66" s="421"/>
      <c r="O66" s="421"/>
      <c r="P66" s="421"/>
      <c r="Q66" s="421"/>
      <c r="R66" s="421"/>
      <c r="S66" s="421"/>
    </row>
    <row r="67" spans="1:47" x14ac:dyDescent="0.3">
      <c r="A67" s="383" t="s">
        <v>56</v>
      </c>
      <c r="B67" s="385" t="e">
        <f t="shared" si="14"/>
        <v>#DIV/0!</v>
      </c>
      <c r="C67" s="426">
        <f>+C66*C63</f>
        <v>937915.98589062784</v>
      </c>
      <c r="D67" s="427">
        <f>+D66*D63</f>
        <v>385453.44172031747</v>
      </c>
      <c r="E67" s="427">
        <f>+E66*E63</f>
        <v>317138.05987521104</v>
      </c>
      <c r="F67" s="427">
        <f>+F66*F63</f>
        <v>439713.4249479401</v>
      </c>
      <c r="G67" s="427"/>
      <c r="H67" s="427">
        <f>+H66*H63</f>
        <v>752320.07484458899</v>
      </c>
      <c r="I67" s="427" t="e">
        <f>+I66*I63</f>
        <v>#DIV/0!</v>
      </c>
      <c r="J67" s="427"/>
      <c r="K67" s="427">
        <f>+K66*K63</f>
        <v>657723.90133355453</v>
      </c>
      <c r="L67" s="427">
        <f>+L66*L63</f>
        <v>0</v>
      </c>
      <c r="M67" s="427" t="e">
        <f>+M66*M63</f>
        <v>#DIV/0!</v>
      </c>
    </row>
    <row r="68" spans="1:47" s="365" customFormat="1" hidden="1" x14ac:dyDescent="0.3">
      <c r="A68" s="383"/>
      <c r="B68" s="384">
        <f>+C68+D68+E68+F68+G68+H68+I68+J68+K68+L68+M68</f>
        <v>60000</v>
      </c>
      <c r="C68" s="428">
        <f>+MDC!D9+MDC!D10</f>
        <v>60000</v>
      </c>
      <c r="D68" s="425"/>
      <c r="E68" s="425"/>
      <c r="F68" s="425"/>
      <c r="G68" s="425"/>
      <c r="H68" s="425"/>
      <c r="I68" s="425"/>
      <c r="J68" s="425"/>
      <c r="K68" s="425"/>
      <c r="L68" s="425"/>
      <c r="M68" s="425"/>
      <c r="N68" s="421"/>
      <c r="O68" s="421"/>
      <c r="P68" s="421"/>
      <c r="Q68" s="421"/>
      <c r="R68" s="421"/>
      <c r="S68" s="421"/>
    </row>
    <row r="69" spans="1:47" x14ac:dyDescent="0.3">
      <c r="A69" s="383" t="s">
        <v>57</v>
      </c>
      <c r="B69" s="385" t="e">
        <f>+C69+D69+E69+F69+G69+H69+I69+J69+K69+L69+M69</f>
        <v>#DIV/0!</v>
      </c>
      <c r="C69" s="426">
        <f>+C68*C63</f>
        <v>439648.11838623183</v>
      </c>
      <c r="D69" s="427">
        <f t="shared" ref="D69:M69" si="15">+D68*D63</f>
        <v>0</v>
      </c>
      <c r="E69" s="427">
        <f t="shared" si="15"/>
        <v>0</v>
      </c>
      <c r="F69" s="427">
        <f t="shared" si="15"/>
        <v>0</v>
      </c>
      <c r="G69" s="427">
        <f t="shared" si="15"/>
        <v>0</v>
      </c>
      <c r="H69" s="427">
        <f t="shared" si="15"/>
        <v>0</v>
      </c>
      <c r="I69" s="427" t="e">
        <f t="shared" si="15"/>
        <v>#DIV/0!</v>
      </c>
      <c r="J69" s="427">
        <f t="shared" si="15"/>
        <v>0</v>
      </c>
      <c r="K69" s="427">
        <f t="shared" si="15"/>
        <v>0</v>
      </c>
      <c r="L69" s="427">
        <f t="shared" si="15"/>
        <v>0</v>
      </c>
      <c r="M69" s="427" t="e">
        <f t="shared" si="15"/>
        <v>#DIV/0!</v>
      </c>
    </row>
    <row r="70" spans="1:47" s="365" customFormat="1" hidden="1" x14ac:dyDescent="0.3">
      <c r="A70" s="383"/>
      <c r="B70" s="384">
        <f>+C70+D70+E70+F70+G70+H70+I70+J70+K70+L70+M70</f>
        <v>83100</v>
      </c>
      <c r="C70" s="428">
        <f>+MDC!D12+MDC!D13</f>
        <v>28000</v>
      </c>
      <c r="D70" s="425"/>
      <c r="E70" s="425"/>
      <c r="F70" s="425"/>
      <c r="G70" s="425">
        <f>+MDC!D40</f>
        <v>25000</v>
      </c>
      <c r="H70" s="425"/>
      <c r="I70" s="425"/>
      <c r="J70" s="425">
        <f>+MDC!D58</f>
        <v>100</v>
      </c>
      <c r="K70" s="425"/>
      <c r="L70" s="425">
        <f>+MDC!D79</f>
        <v>30000</v>
      </c>
      <c r="M70" s="425"/>
      <c r="N70" s="421"/>
      <c r="O70" s="421"/>
      <c r="P70" s="421"/>
      <c r="Q70" s="421"/>
      <c r="R70" s="421"/>
      <c r="S70" s="421"/>
    </row>
    <row r="71" spans="1:47" ht="16.2" thickBot="1" x14ac:dyDescent="0.35">
      <c r="A71" s="399" t="s">
        <v>58</v>
      </c>
      <c r="B71" s="400" t="e">
        <f t="shared" si="14"/>
        <v>#DIV/0!</v>
      </c>
      <c r="C71" s="426">
        <f>+C70*C63</f>
        <v>205169.12191357484</v>
      </c>
      <c r="D71" s="427">
        <f t="shared" ref="D71:M71" si="16">+D70*D63</f>
        <v>0</v>
      </c>
      <c r="E71" s="427">
        <f t="shared" si="16"/>
        <v>0</v>
      </c>
      <c r="F71" s="427">
        <f t="shared" si="16"/>
        <v>0</v>
      </c>
      <c r="G71" s="427">
        <f t="shared" si="16"/>
        <v>598892.05682227912</v>
      </c>
      <c r="H71" s="427">
        <f t="shared" si="16"/>
        <v>0</v>
      </c>
      <c r="I71" s="427" t="e">
        <f t="shared" si="16"/>
        <v>#DIV/0!</v>
      </c>
      <c r="J71" s="427">
        <f t="shared" si="16"/>
        <v>11827.558984298907</v>
      </c>
      <c r="K71" s="427">
        <f t="shared" si="16"/>
        <v>0</v>
      </c>
      <c r="L71" s="427">
        <f t="shared" si="16"/>
        <v>386426.64472854004</v>
      </c>
      <c r="M71" s="427" t="e">
        <f t="shared" si="16"/>
        <v>#DIV/0!</v>
      </c>
    </row>
    <row r="72" spans="1:47" ht="16.2" thickBot="1" x14ac:dyDescent="0.35">
      <c r="B72" s="369"/>
      <c r="C72" s="424"/>
      <c r="D72" s="424"/>
      <c r="E72" s="424"/>
      <c r="F72" s="424"/>
      <c r="G72" s="424"/>
      <c r="H72" s="424"/>
      <c r="I72" s="424"/>
      <c r="J72" s="424"/>
      <c r="K72" s="424"/>
      <c r="L72" s="424"/>
    </row>
    <row r="73" spans="1:47" x14ac:dyDescent="0.3">
      <c r="A73" s="401" t="s">
        <v>60</v>
      </c>
      <c r="B73" s="402" t="e">
        <f>+B6+B17+B22+B24+B29+B35+B46+B55+B60</f>
        <v>#DIV/0!</v>
      </c>
      <c r="C73" s="451"/>
      <c r="E73" s="432"/>
      <c r="T73" s="369"/>
      <c r="X73" s="359" t="s">
        <v>60</v>
      </c>
      <c r="Y73" s="461">
        <v>25419072.447204184</v>
      </c>
      <c r="Z73" s="461"/>
      <c r="AA73" s="461">
        <f>Y73*1.06</f>
        <v>26944216.794036437</v>
      </c>
      <c r="AB73" s="461"/>
      <c r="AU73" s="359">
        <v>26944216.794036437</v>
      </c>
    </row>
    <row r="74" spans="1:47" x14ac:dyDescent="0.3">
      <c r="A74" s="403" t="s">
        <v>61</v>
      </c>
      <c r="B74" s="404" t="e">
        <f>+B65</f>
        <v>#DIV/0!</v>
      </c>
      <c r="D74" s="431">
        <f>1232205+157063+345596+6586391+5585610+8695689</f>
        <v>22602554</v>
      </c>
      <c r="E74" s="431"/>
      <c r="G74" s="415">
        <f>CEM!O146</f>
        <v>6794596.441970625</v>
      </c>
      <c r="T74" s="369"/>
      <c r="X74" s="359" t="s">
        <v>61</v>
      </c>
      <c r="Y74" s="461">
        <v>4533523.8307336112</v>
      </c>
      <c r="Z74" s="461"/>
      <c r="AA74" s="461">
        <f>Y74*1.06</f>
        <v>4805535.2605776284</v>
      </c>
      <c r="AB74" s="461"/>
      <c r="AU74" s="359">
        <v>4805535.2605776284</v>
      </c>
    </row>
    <row r="75" spans="1:47" x14ac:dyDescent="0.3">
      <c r="A75" s="403"/>
      <c r="B75" s="404"/>
      <c r="T75" s="369">
        <v>26361478.780000001</v>
      </c>
      <c r="Y75" s="461"/>
      <c r="Z75" s="461"/>
      <c r="AA75" s="461"/>
      <c r="AB75" s="461"/>
      <c r="AQ75" s="359">
        <v>26361478.780000001</v>
      </c>
    </row>
    <row r="76" spans="1:47" ht="16.2" thickBot="1" x14ac:dyDescent="0.35">
      <c r="A76" s="405" t="s">
        <v>62</v>
      </c>
      <c r="B76" s="406" t="e">
        <f>SUM(B73:B75)</f>
        <v>#DIV/0!</v>
      </c>
      <c r="C76" s="433">
        <v>26176165</v>
      </c>
      <c r="E76" s="452"/>
      <c r="F76" s="415">
        <f>CEM!O148</f>
        <v>41685849.392184861</v>
      </c>
      <c r="G76" s="452" t="e">
        <f>B76-F76</f>
        <v>#DIV/0!</v>
      </c>
      <c r="T76" s="369">
        <f>26361478.78*4.5%</f>
        <v>1186266.5451</v>
      </c>
      <c r="V76" s="460" t="e">
        <f>+B76*5%</f>
        <v>#DIV/0!</v>
      </c>
      <c r="X76" s="359" t="s">
        <v>62</v>
      </c>
      <c r="Y76" s="461">
        <v>29952596.277937796</v>
      </c>
      <c r="Z76" s="461">
        <v>26176165</v>
      </c>
      <c r="AA76" s="461">
        <f>SUM(AA73:AA74)</f>
        <v>31749752.054614067</v>
      </c>
      <c r="AB76" s="461">
        <f>CEM!O148</f>
        <v>41685849.392184861</v>
      </c>
      <c r="AQ76" s="359">
        <v>1186266.5451</v>
      </c>
      <c r="AS76" s="359">
        <v>1497629.8138968898</v>
      </c>
      <c r="AU76" s="359">
        <v>31749752.054614067</v>
      </c>
    </row>
    <row r="77" spans="1:47" x14ac:dyDescent="0.3">
      <c r="B77" s="460" t="e">
        <f>+B76</f>
        <v>#DIV/0!</v>
      </c>
      <c r="C77" s="433" t="e">
        <f>+C76-B76</f>
        <v>#DIV/0!</v>
      </c>
      <c r="T77" s="369">
        <f>SUM(T75:T76)</f>
        <v>27547745.325100001</v>
      </c>
      <c r="V77" s="460">
        <f>26176165.5+1308808.27</f>
        <v>27484973.77</v>
      </c>
      <c r="Y77" s="461">
        <v>29952596.277937796</v>
      </c>
      <c r="Z77" s="461">
        <v>-3776431.277937796</v>
      </c>
      <c r="AA77" s="461"/>
      <c r="AB77" s="461">
        <f>AA76-AB76</f>
        <v>-9936097.3375707939</v>
      </c>
      <c r="AQ77" s="359">
        <v>27547745.325100001</v>
      </c>
      <c r="AS77" s="359">
        <v>27484973.77</v>
      </c>
    </row>
    <row r="78" spans="1:47" x14ac:dyDescent="0.3">
      <c r="B78" s="371">
        <f>+V77</f>
        <v>27484973.77</v>
      </c>
      <c r="C78" s="453"/>
      <c r="T78" s="369"/>
      <c r="Y78" s="461">
        <v>27484973.77</v>
      </c>
      <c r="Z78" s="461"/>
      <c r="AA78" s="461"/>
      <c r="AB78" s="461"/>
    </row>
    <row r="79" spans="1:47" x14ac:dyDescent="0.3">
      <c r="B79" s="371" t="e">
        <f>+B78-B77</f>
        <v>#DIV/0!</v>
      </c>
      <c r="T79" s="369" t="e">
        <f>+T77-B76</f>
        <v>#DIV/0!</v>
      </c>
      <c r="Y79" s="461">
        <v>-2467622.5079377964</v>
      </c>
      <c r="Z79" s="461"/>
      <c r="AA79" s="461"/>
      <c r="AB79" s="461"/>
      <c r="AQ79" s="359">
        <v>-2404850.952837795</v>
      </c>
    </row>
    <row r="80" spans="1:47" x14ac:dyDescent="0.3">
      <c r="B80" s="371"/>
    </row>
  </sheetData>
  <customSheetViews>
    <customSheetView guid="{60788006-5C2B-4CAF-8D5B-3FA82F99F0BB}" hiddenRows="1" hiddenColumns="1">
      <selection activeCell="B1" sqref="B1"/>
      <pageMargins left="0" right="0" top="0" bottom="0" header="0.31496062992125984" footer="0.31496062992125984"/>
      <pageSetup paperSize="9" scale="85" orientation="landscape" r:id="rId1"/>
      <headerFooter alignWithMargins="0"/>
    </customSheetView>
    <customSheetView guid="{6C0BD6A7-6718-429D-82D9-D2FE0341EA2C}" showPageBreaks="1" printArea="1" hiddenRows="1" hiddenColumns="1" topLeftCell="A39">
      <selection activeCell="A74" sqref="A74"/>
      <pageMargins left="0" right="0" top="0" bottom="0" header="0.31496062992125984" footer="0.31496062992125984"/>
      <pageSetup paperSize="8" scale="85" orientation="landscape" r:id="rId2"/>
      <headerFooter alignWithMargins="0"/>
    </customSheetView>
    <customSheetView guid="{594C4AB0-8D5F-4373-9663-410F4413FE3A}" showPageBreaks="1" printArea="1" hiddenRows="1" hiddenColumns="1">
      <selection activeCell="W39" sqref="W39"/>
      <pageMargins left="0" right="0" top="0" bottom="0" header="0.31496062992125984" footer="0.31496062992125984"/>
      <pageSetup paperSize="8" scale="85" orientation="landscape" r:id="rId3"/>
      <headerFooter alignWithMargins="0"/>
    </customSheetView>
    <customSheetView guid="{DF69299D-7752-4436-A45D-28F739CEE21B}" showPageBreaks="1" printArea="1" hiddenRows="1" hiddenColumns="1">
      <selection activeCell="B1" sqref="B1"/>
      <pageMargins left="0" right="0" top="0" bottom="0" header="0.31496062992125984" footer="0.31496062992125984"/>
      <pageSetup paperSize="9" scale="85" orientation="landscape" r:id="rId4"/>
      <headerFooter alignWithMargins="0"/>
    </customSheetView>
  </customSheetViews>
  <phoneticPr fontId="0" type="noConversion"/>
  <pageMargins left="0" right="0" top="0" bottom="0" header="0.31496062992125984" footer="0.31496062992125984"/>
  <pageSetup paperSize="9" scale="85" orientation="landscape" r:id="rId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G29"/>
  <sheetViews>
    <sheetView workbookViewId="0">
      <selection activeCell="B16" sqref="B16"/>
    </sheetView>
  </sheetViews>
  <sheetFormatPr defaultColWidth="9.21875" defaultRowHeight="10.199999999999999" x14ac:dyDescent="0.2"/>
  <cols>
    <col min="1" max="1" width="20.21875" style="2" bestFit="1" customWidth="1"/>
    <col min="2" max="2" width="11.77734375" style="11" bestFit="1" customWidth="1"/>
    <col min="3" max="3" width="12.44140625" style="11" bestFit="1" customWidth="1"/>
    <col min="4" max="5" width="9.21875" style="11"/>
    <col min="6" max="6" width="24.77734375" style="11" bestFit="1" customWidth="1"/>
    <col min="7" max="16384" width="9.21875" style="2"/>
  </cols>
  <sheetData>
    <row r="1" spans="1:6" x14ac:dyDescent="0.2">
      <c r="A1" s="1" t="s">
        <v>1444</v>
      </c>
    </row>
    <row r="2" spans="1:6" x14ac:dyDescent="0.2">
      <c r="A2" s="45">
        <v>-0.22500000000000001</v>
      </c>
    </row>
    <row r="3" spans="1:6" x14ac:dyDescent="0.2">
      <c r="A3" s="45"/>
    </row>
    <row r="4" spans="1:6" x14ac:dyDescent="0.2">
      <c r="A4" s="11">
        <v>23.5</v>
      </c>
    </row>
    <row r="6" spans="1:6" x14ac:dyDescent="0.2">
      <c r="A6" s="11">
        <v>800000</v>
      </c>
      <c r="B6" s="11">
        <v>692568.67</v>
      </c>
    </row>
    <row r="8" spans="1:6" x14ac:dyDescent="0.2">
      <c r="A8" s="46">
        <f>+CEM!M148</f>
        <v>40960574.717008784</v>
      </c>
      <c r="F8" s="11">
        <v>28863677.079358432</v>
      </c>
    </row>
    <row r="9" spans="1:6" x14ac:dyDescent="0.2">
      <c r="A9" s="49"/>
    </row>
    <row r="10" spans="1:6" x14ac:dyDescent="0.2">
      <c r="A10" s="49"/>
    </row>
    <row r="11" spans="1:6" x14ac:dyDescent="0.2">
      <c r="A11" s="49">
        <v>24467288.18</v>
      </c>
      <c r="B11" s="11">
        <v>4.4999999999999998E-2</v>
      </c>
    </row>
    <row r="13" spans="1:6" x14ac:dyDescent="0.2">
      <c r="B13" s="531">
        <v>0.12</v>
      </c>
      <c r="F13" s="11" t="s">
        <v>1555</v>
      </c>
    </row>
    <row r="14" spans="1:6" x14ac:dyDescent="0.2">
      <c r="B14" s="531">
        <v>0.08</v>
      </c>
      <c r="F14" s="11" t="s">
        <v>1556</v>
      </c>
    </row>
    <row r="15" spans="1:6" x14ac:dyDescent="0.2">
      <c r="B15" s="531">
        <v>0.1</v>
      </c>
      <c r="F15" s="11" t="s">
        <v>1557</v>
      </c>
    </row>
    <row r="19" spans="1:7" x14ac:dyDescent="0.2">
      <c r="C19" s="454">
        <v>0.05</v>
      </c>
    </row>
    <row r="20" spans="1:7" x14ac:dyDescent="0.2">
      <c r="B20" s="11">
        <v>738</v>
      </c>
      <c r="C20" s="11">
        <f>+B20*C19</f>
        <v>36.9</v>
      </c>
      <c r="D20" s="11">
        <f>+C20+B20</f>
        <v>774.9</v>
      </c>
    </row>
    <row r="21" spans="1:7" x14ac:dyDescent="0.2">
      <c r="B21" s="11">
        <v>738</v>
      </c>
    </row>
    <row r="23" spans="1:7" x14ac:dyDescent="0.2">
      <c r="A23" s="2">
        <f>622500*1.06</f>
        <v>659850</v>
      </c>
      <c r="B23" s="11" t="s">
        <v>1489</v>
      </c>
    </row>
    <row r="25" spans="1:7" x14ac:dyDescent="0.2">
      <c r="G25" s="2">
        <v>3101</v>
      </c>
    </row>
    <row r="26" spans="1:7" x14ac:dyDescent="0.2">
      <c r="G26" s="2">
        <v>7.16</v>
      </c>
    </row>
    <row r="27" spans="1:7" x14ac:dyDescent="0.2">
      <c r="G27" s="2">
        <v>5.5</v>
      </c>
    </row>
    <row r="28" spans="1:7" x14ac:dyDescent="0.2">
      <c r="G28" s="2">
        <f>+G25/G26</f>
        <v>433.10055865921788</v>
      </c>
    </row>
    <row r="29" spans="1:7" x14ac:dyDescent="0.2">
      <c r="G29" s="2">
        <f>+G28*12.8</f>
        <v>5543.6871508379891</v>
      </c>
    </row>
  </sheetData>
  <customSheetViews>
    <customSheetView guid="{60788006-5C2B-4CAF-8D5B-3FA82F99F0BB}">
      <selection activeCell="B16" sqref="B16"/>
      <pageMargins left="0.75" right="0.75" top="1" bottom="1" header="0.5" footer="0.5"/>
      <pageSetup paperSize="9" orientation="portrait" r:id="rId1"/>
      <headerFooter alignWithMargins="0"/>
    </customSheetView>
    <customSheetView guid="{6C0BD6A7-6718-429D-82D9-D2FE0341EA2C}">
      <selection activeCell="A5" sqref="A5"/>
      <pageMargins left="0.75" right="0.75" top="1" bottom="1" header="0.5" footer="0.5"/>
      <pageSetup paperSize="9" orientation="portrait" r:id="rId2"/>
      <headerFooter alignWithMargins="0"/>
    </customSheetView>
    <customSheetView guid="{594C4AB0-8D5F-4373-9663-410F4413FE3A}" showPageBreaks="1">
      <selection activeCell="A5" sqref="A5"/>
      <pageMargins left="0.75" right="0.75" top="1" bottom="1" header="0.5" footer="0.5"/>
      <pageSetup paperSize="9" orientation="portrait" r:id="rId3"/>
      <headerFooter alignWithMargins="0"/>
    </customSheetView>
    <customSheetView guid="{DF69299D-7752-4436-A45D-28F739CEE21B}">
      <selection activeCell="B16" sqref="B16"/>
      <pageMargins left="0.75" right="0.75" top="1" bottom="1" header="0.5" footer="0.5"/>
      <pageSetup paperSize="9" orientation="portrait" r:id="rId4"/>
      <headerFooter alignWithMargins="0"/>
    </customSheetView>
  </customSheetViews>
  <phoneticPr fontId="0" type="noConversion"/>
  <pageMargins left="0.75" right="0.75" top="1" bottom="1" header="0.5" footer="0.5"/>
  <pageSetup paperSize="9" orientation="portrait" r:id="rId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6289872-24f8-40cf-8392-196a1464cf8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4EBE561572ED4A94229BCB4E1AB1BE" ma:contentTypeVersion="17" ma:contentTypeDescription="Create a new document." ma:contentTypeScope="" ma:versionID="4b53a0aa8c1368035ef27774207072be">
  <xsd:schema xmlns:xsd="http://www.w3.org/2001/XMLSchema" xmlns:xs="http://www.w3.org/2001/XMLSchema" xmlns:p="http://schemas.microsoft.com/office/2006/metadata/properties" xmlns:ns3="b6289872-24f8-40cf-8392-196a1464cf81" xmlns:ns4="e4199f53-29a8-47e8-9a7e-0ba17cc9efda" targetNamespace="http://schemas.microsoft.com/office/2006/metadata/properties" ma:root="true" ma:fieldsID="5806b00757cd32726d1ade7ee9ec8eb7" ns3:_="" ns4:_="">
    <xsd:import namespace="b6289872-24f8-40cf-8392-196a1464cf81"/>
    <xsd:import namespace="e4199f53-29a8-47e8-9a7e-0ba17cc9efd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_activity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289872-24f8-40cf-8392-196a1464cf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23" nillable="true" ma:displayName="_activity" ma:hidden="true" ma:internalName="_activity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199f53-29a8-47e8-9a7e-0ba17cc9efd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AFF0D63-06F0-43FD-9AB0-80FA7B6F7B2A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e4199f53-29a8-47e8-9a7e-0ba17cc9efda"/>
    <ds:schemaRef ds:uri="http://purl.org/dc/elements/1.1/"/>
    <ds:schemaRef ds:uri="b6289872-24f8-40cf-8392-196a1464cf81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2C100A-755E-449D-B45A-F866936B72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289872-24f8-40cf-8392-196a1464cf81"/>
    <ds:schemaRef ds:uri="e4199f53-29a8-47e8-9a7e-0ba17cc9e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99C5B65-7465-4265-98D2-ED6DDE33776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8</vt:i4>
      </vt:variant>
    </vt:vector>
  </HeadingPairs>
  <TitlesOfParts>
    <vt:vector size="23" baseType="lpstr">
      <vt:lpstr>mayor</vt:lpstr>
      <vt:lpstr>income</vt:lpstr>
      <vt:lpstr>workshop</vt:lpstr>
      <vt:lpstr>COMMUNITY SERV</vt:lpstr>
      <vt:lpstr>EEM</vt:lpstr>
      <vt:lpstr>CEM</vt:lpstr>
      <vt:lpstr>MDC</vt:lpstr>
      <vt:lpstr>BUDGET</vt:lpstr>
      <vt:lpstr>CALC</vt:lpstr>
      <vt:lpstr>orig</vt:lpstr>
      <vt:lpstr>1-10</vt:lpstr>
      <vt:lpstr>new veh 2012</vt:lpstr>
      <vt:lpstr>Sheet1</vt:lpstr>
      <vt:lpstr>stbk</vt:lpstr>
      <vt:lpstr>Sheet2</vt:lpstr>
      <vt:lpstr>BUDGET!Print_Area</vt:lpstr>
      <vt:lpstr>CEM!Print_Area</vt:lpstr>
      <vt:lpstr>'COMMUNITY SERV'!Print_Area</vt:lpstr>
      <vt:lpstr>EEM!Print_Area</vt:lpstr>
      <vt:lpstr>income!Print_Area</vt:lpstr>
      <vt:lpstr>mayor!Print_Area</vt:lpstr>
      <vt:lpstr>MDC!Print_Area</vt:lpstr>
      <vt:lpstr>workshop!Print_Area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Lydia</dc:creator>
  <cp:lastModifiedBy>Siyakudumisa Nokwe</cp:lastModifiedBy>
  <cp:lastPrinted>2019-03-08T12:13:13Z</cp:lastPrinted>
  <dcterms:created xsi:type="dcterms:W3CDTF">2005-10-06T12:29:26Z</dcterms:created>
  <dcterms:modified xsi:type="dcterms:W3CDTF">2025-05-13T07:26:39Z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16f4fcd-8401-41c8-bfac-a60235e9eb06_Enabled">
    <vt:lpwstr>true</vt:lpwstr>
  </property>
  <property fmtid="{D5CDD505-2E9C-101B-9397-08002B2CF9AE}" pid="3" name="MSIP_Label_616f4fcd-8401-41c8-bfac-a60235e9eb06_SetDate">
    <vt:lpwstr>2022-02-28T10:46:57Z</vt:lpwstr>
  </property>
  <property fmtid="{D5CDD505-2E9C-101B-9397-08002B2CF9AE}" pid="4" name="MSIP_Label_616f4fcd-8401-41c8-bfac-a60235e9eb06_Method">
    <vt:lpwstr>Privileged</vt:lpwstr>
  </property>
  <property fmtid="{D5CDD505-2E9C-101B-9397-08002B2CF9AE}" pid="5" name="MSIP_Label_616f4fcd-8401-41c8-bfac-a60235e9eb06_Name">
    <vt:lpwstr>General Information</vt:lpwstr>
  </property>
  <property fmtid="{D5CDD505-2E9C-101B-9397-08002B2CF9AE}" pid="6" name="MSIP_Label_616f4fcd-8401-41c8-bfac-a60235e9eb06_SiteId">
    <vt:lpwstr>96cb76fa-e95c-4b46-8af5-91bec5d808f2</vt:lpwstr>
  </property>
  <property fmtid="{D5CDD505-2E9C-101B-9397-08002B2CF9AE}" pid="7" name="MSIP_Label_616f4fcd-8401-41c8-bfac-a60235e9eb06_ActionId">
    <vt:lpwstr>375e7c46-82ee-43cf-8b09-98bf5e3c3712</vt:lpwstr>
  </property>
  <property fmtid="{D5CDD505-2E9C-101B-9397-08002B2CF9AE}" pid="8" name="MSIP_Label_616f4fcd-8401-41c8-bfac-a60235e9eb06_ContentBits">
    <vt:lpwstr>0</vt:lpwstr>
  </property>
  <property fmtid="{D5CDD505-2E9C-101B-9397-08002B2CF9AE}" pid="9" name="ContentTypeId">
    <vt:lpwstr>0x0101005A4EBE561572ED4A94229BCB4E1AB1BE</vt:lpwstr>
  </property>
</Properties>
</file>